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7" activeTab="48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8" sheetId="7" r:id="rId7"/>
    <sheet name="2-9" sheetId="8" r:id="rId8"/>
    <sheet name="2-10" sheetId="9" r:id="rId9"/>
    <sheet name="2-11" sheetId="10" r:id="rId10"/>
    <sheet name="2-13" sheetId="11" r:id="rId11"/>
    <sheet name="2-17" sheetId="12" r:id="rId12"/>
    <sheet name="2-20" sheetId="13" r:id="rId13"/>
    <sheet name="2-22" sheetId="14" r:id="rId14"/>
    <sheet name="2-23" sheetId="15" r:id="rId15"/>
    <sheet name="2-23а" sheetId="16" r:id="rId16"/>
    <sheet name="2-24" sheetId="17" r:id="rId17"/>
    <sheet name="2-25" sheetId="18" r:id="rId18"/>
    <sheet name="2-26" sheetId="19" r:id="rId19"/>
    <sheet name="2-30а" sheetId="20" r:id="rId20"/>
    <sheet name="2-33" sheetId="21" r:id="rId21"/>
    <sheet name="2-34а" sheetId="22" r:id="rId22"/>
    <sheet name="2-35" sheetId="23" r:id="rId23"/>
    <sheet name="2-37" sheetId="24" r:id="rId24"/>
    <sheet name="2-38" sheetId="25" r:id="rId25"/>
    <sheet name="2-39а" sheetId="26" r:id="rId26"/>
    <sheet name="2-40" sheetId="27" r:id="rId27"/>
    <sheet name="2-41" sheetId="28" r:id="rId28"/>
    <sheet name="2-43" sheetId="29" r:id="rId29"/>
    <sheet name="2-45" sheetId="30" r:id="rId30"/>
    <sheet name="6-1" sheetId="31" r:id="rId31"/>
    <sheet name="6-2" sheetId="32" r:id="rId32"/>
    <sheet name="6-3" sheetId="33" r:id="rId33"/>
    <sheet name="6-4" sheetId="34" r:id="rId34"/>
    <sheet name="6-5" sheetId="35" r:id="rId35"/>
    <sheet name="6-9" sheetId="36" r:id="rId36"/>
    <sheet name="6-10" sheetId="37" r:id="rId37"/>
    <sheet name="6-11" sheetId="38" r:id="rId38"/>
    <sheet name="6-12" sheetId="39" r:id="rId39"/>
    <sheet name="6-13" sheetId="40" r:id="rId40"/>
    <sheet name="6-14" sheetId="41" r:id="rId41"/>
    <sheet name="6-15" sheetId="42" r:id="rId42"/>
    <sheet name="6-16" sheetId="43" r:id="rId43"/>
    <sheet name="6-18" sheetId="44" r:id="rId44"/>
    <sheet name="6-19" sheetId="45" r:id="rId45"/>
    <sheet name="6-20" sheetId="46" r:id="rId46"/>
    <sheet name="6-23" sheetId="47" r:id="rId47"/>
    <sheet name="6-25" sheetId="48" r:id="rId48"/>
    <sheet name="6-26" sheetId="49" r:id="rId49"/>
    <sheet name="Лист1" sheetId="50" r:id="rId50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13.03-19.03(3шт)
повторно:
27.03-02.04(3шт)
03.04-10.04(3шт)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8 кв.-1
кв.69-1+1
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вентшахт- штукатурка</t>
        </r>
      </text>
    </comment>
    <comment ref="C8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 под.-1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1п.-1(сварка)</t>
        </r>
      </text>
    </comment>
    <comment ref="C95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 под.-1+1
2 под.-2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сварка-2-1</t>
        </r>
      </text>
    </comment>
    <comment ref="C11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15.03(3шт)</t>
        </r>
      </text>
    </comment>
    <comment ref="C12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13.08-3 шт.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0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69 кв.-1
18 кв.-1
1 шт- утепление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 шт- смазка</t>
        </r>
      </text>
    </comment>
    <comment ref="C85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1п.-2
2п.-2</t>
        </r>
      </text>
    </comment>
    <comment ref="C8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8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4п.-1</t>
        </r>
      </text>
    </comment>
    <comment ref="C9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 кв.-23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под.-1</t>
        </r>
      </text>
    </comment>
    <comment ref="C9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4под.-1</t>
        </r>
      </text>
    </comment>
    <comment ref="C112" authorId="0">
      <text>
        <r>
          <rPr>
            <b/>
            <sz val="8"/>
            <color indexed="9"/>
            <rFont val="Tahoma"/>
            <family val="2"/>
          </rPr>
          <t xml:space="preserve">EngineerPTO1:
</t>
        </r>
        <r>
          <rPr>
            <sz val="8"/>
            <color indexed="9"/>
            <rFont val="Tahoma"/>
            <family val="2"/>
          </rPr>
          <t>10.12 кв.-67,34 (2 шт.)
21.12 кв.-69,2(2 шт.)</t>
        </r>
      </text>
    </comment>
    <comment ref="C11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20.08-4 шт.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50 кв.- в работе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70 кв.18 кв. 19 кв.-нарушение стыка.
2 шт-заделка дыр(ремонт)
2шт-утепление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шт- утепление</t>
        </r>
      </text>
    </comment>
    <comment ref="C8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1п.-1(сварка)
смазка-2+2</t>
        </r>
      </text>
    </comment>
    <comment ref="C87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1п.-2</t>
        </r>
      </text>
    </comment>
    <comment ref="C9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54 кв.</t>
        </r>
      </text>
    </comment>
    <comment ref="C10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шт- замена</t>
        </r>
      </text>
    </comment>
    <comment ref="C11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50 кв.-1 шт.
21.12. кв.34(1 шт.)
31.12 кв.-34 (1 шт.)</t>
        </r>
      </text>
    </comment>
    <comment ref="C11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15.03 (2 шт)</t>
        </r>
      </text>
    </comment>
    <comment ref="C11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 под.-1
20.08-4шт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A4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0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35 кв.-10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35 кв.
повторно-27.08.2010 кв. 35
2 шт- утепление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шт- утепление</t>
        </r>
      </text>
    </comment>
    <comment ref="C88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1п.-1(сварка)+1+1+1
3п.-1(сварка)
1 шт-смазка</t>
        </r>
      </text>
    </comment>
    <comment ref="C9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ПАТ кв.61
23 кв.-7п.м.</t>
        </r>
      </text>
    </comment>
    <comment ref="C111" authorId="0">
      <text>
        <r>
          <rPr>
            <b/>
            <sz val="8"/>
            <color indexed="9"/>
            <rFont val="Tahoma"/>
            <family val="2"/>
          </rPr>
          <t xml:space="preserve">EngineerPTO1:
</t>
        </r>
        <r>
          <rPr>
            <sz val="8"/>
            <color indexed="9"/>
            <rFont val="Tahoma"/>
            <family val="2"/>
          </rPr>
          <t>10.12 кв.-16(1 шт.)
21.12 кв.-32,35 (2 шт.)</t>
        </r>
      </text>
    </comment>
    <comment ref="C11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16.03 (2шт)</t>
        </r>
      </text>
    </comment>
    <comment ref="C11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16.03 (4 шт)
повторно:
10.04-16.04(4шт)</t>
        </r>
      </text>
    </comment>
    <comment ref="C11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20.08-4 шт.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кв.-9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2шт- утепление</t>
        </r>
      </text>
    </comment>
    <comment ref="C85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смазка:
1п.-1
2п.-1+1</t>
        </r>
      </text>
    </comment>
    <comment ref="C8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ПАТ кв.118,51
кв.3-18</t>
        </r>
      </text>
    </comment>
    <comment ref="C11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20.08-2 шт.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шт- утепление</t>
        </r>
      </text>
    </comment>
    <comment ref="C85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1п.-1+1(смазка); 1(сварка)
2п.-1+1(смазка); 1(сварка)</t>
        </r>
      </text>
    </comment>
    <comment ref="C8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ПАТ кв.49
кв.61-12 п.м.(сами)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10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16.03 (2шт)</t>
        </r>
      </text>
    </comment>
    <comment ref="C10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16.03 (2 шт)</t>
        </r>
      </text>
    </comment>
    <comment ref="C11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20.08-2 шт.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13.03-19.03 (6 шт)
повторно:
20.03-25.03(6шт)
27.03-02.04(6шт)
03.04-10.04(6шт)
14.08-20ю08(2шт.)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монтаж фанового стояка с выводом на кровлю кв.189,192</t>
        </r>
      </text>
    </comment>
    <comment ref="C84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179 кв.-1</t>
        </r>
      </text>
    </comment>
    <comment ref="C8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 под.-8</t>
        </r>
      </text>
    </comment>
    <comment ref="C9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сварка:
1п.-1
4п.-1
2п.-1
3п.-1</t>
        </r>
      </text>
    </comment>
    <comment ref="C96" authorId="0">
      <text>
        <r>
          <rPr>
            <b/>
            <sz val="9"/>
            <color indexed="9"/>
            <rFont val="Tahoma"/>
            <family val="2"/>
          </rPr>
          <t xml:space="preserve">Дацко:
</t>
        </r>
        <r>
          <rPr>
            <sz val="9"/>
            <color indexed="9"/>
            <rFont val="Tahoma"/>
            <family val="2"/>
          </rPr>
          <t>3п.-30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1п.-1
</t>
        </r>
      </text>
    </comment>
    <comment ref="C11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п.-11</t>
        </r>
      </text>
    </comment>
    <comment ref="C12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кв.-179-1</t>
        </r>
      </text>
    </comment>
    <comment ref="C12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15.03 (2 шт)</t>
        </r>
      </text>
    </comment>
    <comment ref="C13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15.03 (6 шт.)</t>
        </r>
      </text>
    </comment>
    <comment ref="C13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13.08-6 шт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>I</t>
        </r>
        <r>
          <rPr>
            <sz val="8"/>
            <color indexed="9"/>
            <rFont val="Tahoma"/>
            <family val="2"/>
          </rPr>
          <t>rina:
13.03.-19.03(1 шт)
03.04-10.04 (1шт)</t>
        </r>
      </text>
    </comment>
    <comment ref="C88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установка доводчика-1 шт.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термошов ПАТ</t>
        </r>
      </text>
    </comment>
    <comment ref="C10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13.08- 1 шт.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3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DeputyManager:
</t>
        </r>
        <r>
          <rPr>
            <sz val="8"/>
            <color indexed="9"/>
            <rFont val="Tahoma"/>
            <family val="2"/>
          </rPr>
          <t>парапет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109 кв.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шт-утепление</t>
        </r>
      </text>
    </comment>
    <comment ref="C8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 смазка-2+1
сварка-1</t>
        </r>
      </text>
    </comment>
    <comment ref="C9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1под.-1</t>
        </r>
      </text>
    </comment>
    <comment ref="C9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ПАТ кв.106
14-1,6</t>
        </r>
      </text>
    </comment>
    <comment ref="C10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шт- замена</t>
        </r>
      </text>
    </comment>
    <comment ref="C11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16.03 (2шт)</t>
        </r>
      </text>
    </comment>
    <comment ref="C11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16.03 (2 шт)</t>
        </r>
      </text>
    </comment>
    <comment ref="C11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20.08-2 шт.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13.03-19.03 (6 шт)
повторно:
20.03-25.03(6шт)
27.03-02.04(6шт)
03.04-10.04(6шт)
02.08-07.08-1 шт.
14.08-20.08(1шт)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154 кв.,171</t>
        </r>
      </text>
    </comment>
    <comment ref="C9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4п.-1</t>
        </r>
      </text>
    </comment>
    <comment ref="C9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 под.-сварка-1+1
6п.-1
смазка-2</t>
        </r>
      </text>
    </comment>
    <comment ref="C9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1 под.-5,3
</t>
        </r>
      </text>
    </comment>
    <comment ref="C9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6 под.-1</t>
        </r>
      </text>
    </comment>
    <comment ref="C9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1п.-9
2п.-30
</t>
        </r>
      </text>
    </comment>
    <comment ref="C9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 xml:space="preserve">1 п.-28
2п.-7
</t>
        </r>
      </text>
    </comment>
    <comment ref="C10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6п-2</t>
        </r>
      </text>
    </comment>
    <comment ref="C10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ПАТ кв.189</t>
        </r>
      </text>
    </comment>
    <comment ref="C10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3,4,5,6 под.-4
1,2-2 шт.</t>
        </r>
      </text>
    </comment>
    <comment ref="C11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12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154 кв.</t>
        </r>
      </text>
    </comment>
    <comment ref="C12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13.08- 6 шт.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33 кв.-1
21 кв.-1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33 кв.
1 шт- утепление</t>
        </r>
      </text>
    </comment>
    <comment ref="C8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шт-утепление</t>
        </r>
      </text>
    </comment>
    <comment ref="C8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1п.-1
2п.-1
смазка:
1п.-1
2п.-1
3п.-1
4п.-1
сварка; 4п-1</t>
        </r>
      </text>
    </comment>
    <comment ref="C96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10 кв.-5
17 кв.-3</t>
        </r>
      </text>
    </comment>
    <comment ref="C10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сушка для белья</t>
        </r>
      </text>
    </comment>
    <comment ref="C110" authorId="0">
      <text>
        <r>
          <rPr>
            <b/>
            <sz val="8"/>
            <color indexed="9"/>
            <rFont val="Tahoma"/>
            <family val="2"/>
          </rPr>
          <t xml:space="preserve">EngineerPTO1:
</t>
        </r>
        <r>
          <rPr>
            <sz val="8"/>
            <color indexed="9"/>
            <rFont val="Tahoma"/>
            <family val="2"/>
          </rPr>
          <t>10.12-кв.-45,17(2 шт.)
21.12 кв.-45(1 шт.)
31.12 кв.-26 (1 шт.)</t>
        </r>
      </text>
    </comment>
    <comment ref="C11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20.08-4 шт.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кровля кв. 61-4м2, вентшахты , примыкание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13.03-19.03 (6 шт)
повторно:
20.03-25.03(6шт)
27.03-02.04(6шт)
03.04-10.04(6шт)
03.07-09.07 (2 шт)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вентшахты-8
кв.29-1 фановый стояк</t>
        </r>
      </text>
    </comment>
    <comment ref="C9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5п.-1</t>
        </r>
      </text>
    </comment>
    <comment ref="C9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2п.-1(сварка)
4п.-1(сварка)
6п.-1 (сварка)
4 шт-смазка</t>
        </r>
      </text>
    </comment>
    <comment ref="C10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3 под.-6
1п.-1
</t>
        </r>
      </text>
    </comment>
    <comment ref="C12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кв.-187-1</t>
        </r>
      </text>
    </comment>
    <comment ref="C12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16.03 (2шт)</t>
        </r>
      </text>
    </comment>
    <comment ref="C12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16.03 (6 шт)</t>
        </r>
      </text>
    </comment>
    <comment ref="C12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13.08-6 шт.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7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4 кв.-2 раза.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шт- смазка
1+1 шт- сварка</t>
        </r>
      </text>
    </comment>
    <comment ref="C94" authorId="0">
      <text>
        <r>
          <rPr>
            <b/>
            <sz val="8"/>
            <color indexed="9"/>
            <rFont val="Tahoma"/>
            <family val="2"/>
          </rPr>
          <t xml:space="preserve">EngineerPTO1:
</t>
        </r>
        <r>
          <rPr>
            <sz val="8"/>
            <color indexed="9"/>
            <rFont val="Tahoma"/>
            <family val="2"/>
          </rPr>
          <t>21.12. кв.-7 (1 шт.)
31.12 кв.-1,2 (2 шт.)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1п-2</t>
        </r>
      </text>
    </comment>
    <comment ref="C8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9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п-1,2</t>
        </r>
      </text>
    </comment>
    <comment ref="C10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20.03-25.03 (1 раз)
повторно6
27.03-02.04(1 раз)
10.04-16.04(1раз)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3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5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п.-1(сварка)
2п.-1(сварка)
2 шт- смазка+1 шт (смазка)</t>
        </r>
      </text>
    </comment>
    <comment ref="C9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17.04-23.04-1раз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Б/У-1 под.</t>
        </r>
      </text>
    </comment>
    <comment ref="C9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по.-2</t>
        </r>
      </text>
    </comment>
    <comment ref="C10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20.03-25.03 (1 раз)
повторно:
27.03-02.04(1 раз)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C4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10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17.04-23.04-1раз</t>
        </r>
      </text>
    </comment>
    <comment ref="C10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20.03-25.03 (1 раз)
повторно:
27.03-02.04(1 раз)
10.04-16.04(1раз)</t>
        </r>
      </text>
    </comment>
    <comment ref="C103" authorId="0">
      <text>
        <r>
          <rPr>
            <b/>
            <sz val="9"/>
            <color indexed="9"/>
            <rFont val="Tahoma"/>
            <family val="2"/>
          </rPr>
          <t xml:space="preserve">Алексеевич:
</t>
        </r>
        <r>
          <rPr>
            <sz val="9"/>
            <color indexed="9"/>
            <rFont val="Tahoma"/>
            <family val="2"/>
          </rPr>
          <t>кв. 13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A4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C4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20.03-25.03 (1 раз)
повторно:
27.03-02.04(1 раз)
10.04-16.04(1раз)</t>
        </r>
      </text>
    </comment>
    <comment ref="C9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13,14 кв.-3,1
9,16 кв.-3,9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79" authorId="0">
      <text>
        <r>
          <rPr>
            <b/>
            <sz val="9"/>
            <color indexed="9"/>
            <rFont val="Tahoma"/>
            <family val="2"/>
          </rPr>
          <t xml:space="preserve">Андрей:
</t>
        </r>
        <r>
          <rPr>
            <sz val="9"/>
            <color indexed="9"/>
            <rFont val="Tahoma"/>
            <family val="2"/>
          </rPr>
          <t>кв.№3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 (сварка)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EngineerPTO1:
</t>
        </r>
        <r>
          <rPr>
            <sz val="8"/>
            <color indexed="9"/>
            <rFont val="Tahoma"/>
            <family val="2"/>
          </rPr>
          <t>10.12-кв.17(1 шт.)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4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10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10.04-16.04(1раз)</t>
        </r>
      </text>
    </comment>
    <comment ref="C10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20.03-25.03 (1 раз)
27.03-02.04(1 раз)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A4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10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20.03-25.03 (1 раз)
повторно:
27.03-02.04(1 раз)
10.04-16.04(1раз)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A4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 под.-3,1</t>
        </r>
      </text>
    </comment>
    <comment ref="C10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20.03-25.03 (1 раз)
27.03-02.04(1 раз)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13.03-19.03(3шт)
повторно:
27.03-02.04(3шт)
03.04-10.04(3шт)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33 кв.-1</t>
        </r>
      </text>
    </comment>
    <comment ref="C85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87 кв.-1</t>
        </r>
      </text>
    </comment>
    <comment ref="C8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вентшахты-18 шт.</t>
        </r>
      </text>
    </comment>
    <comment ref="C8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9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 под.-1</t>
        </r>
      </text>
    </comment>
    <comment ref="C9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2п.-2(сварка)</t>
        </r>
      </text>
    </comment>
    <comment ref="C95" authorId="0">
      <text>
        <r>
          <rPr>
            <b/>
            <sz val="9"/>
            <color indexed="9"/>
            <rFont val="Tahoma"/>
            <family val="2"/>
          </rPr>
          <t xml:space="preserve">Дацко:
</t>
        </r>
        <r>
          <rPr>
            <sz val="9"/>
            <color indexed="9"/>
            <rFont val="Tahoma"/>
            <family val="2"/>
          </rPr>
          <t>2п.-2</t>
        </r>
      </text>
    </comment>
    <comment ref="C98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сварка:
1п.-1</t>
        </r>
      </text>
    </comment>
    <comment ref="C10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установка перила 2 под. для инвалида</t>
        </r>
      </text>
    </comment>
    <comment ref="C10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шт- сварка</t>
        </r>
      </text>
    </comment>
    <comment ref="C12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16.03 (2шт)</t>
        </r>
      </text>
    </comment>
    <comment ref="C12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16.03 (3 шт)</t>
        </r>
      </text>
    </comment>
    <comment ref="C12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13.08-3 шт.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C4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9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 под.-1</t>
        </r>
      </text>
    </comment>
    <comment ref="C9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10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20.03-25.03 (1 раз)
27.03-02.04(1 раз)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A4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монтаж с выводом фанового стояка кв.105,72</t>
        </r>
      </text>
    </comment>
    <comment ref="C8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
4п.-1</t>
        </r>
      </text>
    </comment>
    <comment ref="C9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п.-1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
2 под- на металлическую</t>
        </r>
      </text>
    </comment>
    <comment ref="C9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3п.-1</t>
        </r>
      </text>
    </comment>
    <comment ref="C9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3п.-0,4+0,8+0,4+0,3
2п.-0,4+0,8+1,05+1,05
1п.-0,8+0,4
4п.-1,05
5п.-0,4</t>
        </r>
      </text>
    </comment>
    <comment ref="C10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5п.-1</t>
        </r>
      </text>
    </comment>
    <comment ref="C10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2п.-1</t>
        </r>
      </text>
    </comment>
    <comment ref="C107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заявление кв.74-15
кв.46-24,9
кв.172-14,2
кв.149-13
кв.3-12</t>
        </r>
      </text>
    </comment>
    <comment ref="C11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3п.-0,2
4п.-0,2</t>
        </r>
      </text>
    </comment>
    <comment ref="C11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тамбура </t>
        </r>
      </text>
    </comment>
    <comment ref="C11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2п.-1(сварка)
2 шт-укрепление дверных коробок
2 шт- утепление дверей</t>
        </r>
      </text>
    </comment>
    <comment ref="C11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
2п.-1</t>
        </r>
      </text>
    </comment>
    <comment ref="C13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вокруг маш.отдел и вент.:
22.03-27.03(1раз)
снег:
10.04-16.04(1раз)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A3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кровля вентшахт на машинном отделении</t>
        </r>
      </text>
    </comment>
    <comment ref="C8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1п.-2шт.(сварка)+1</t>
        </r>
      </text>
    </comment>
    <comment ref="C9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1п.-2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1п.-2</t>
        </r>
      </text>
    </comment>
    <comment ref="C9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1п.-3
3п.-9
2п.-6</t>
        </r>
      </text>
    </comment>
    <comment ref="C9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94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 под.-0,2
2п.-0,4</t>
        </r>
      </text>
    </comment>
    <comment ref="C96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1п.-3</t>
        </r>
      </text>
    </comment>
    <comment ref="C97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 под.-2+1</t>
        </r>
      </text>
    </comment>
    <comment ref="C9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5п.-0,2</t>
        </r>
      </text>
    </comment>
    <comment ref="C10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шт- укрепление дверных коробок
1 шт- утепление дверей</t>
        </r>
      </text>
    </comment>
    <comment ref="C12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вокруг маш.отдел и вент.:
22.03-27.03(1раз)</t>
        </r>
      </text>
    </comment>
  </commentList>
</comments>
</file>

<file path=xl/comments33.xml><?xml version="1.0" encoding="utf-8"?>
<comments xmlns="http://schemas.openxmlformats.org/spreadsheetml/2006/main">
  <authors>
    <author/>
  </authors>
  <commentLis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0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 xml:space="preserve">проклеивание швов бикростом 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кв.-92</t>
        </r>
      </text>
    </comment>
    <comment ref="C85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22 кв.-3 п.м.</t>
        </r>
      </text>
    </comment>
    <comment ref="C8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кв.22-1 шт.
повторно после чистки снега (10.04-16.04)</t>
        </r>
      </text>
    </comment>
    <comment ref="C92" authorId="0">
      <text>
        <r>
          <rPr>
            <b/>
            <sz val="8"/>
            <color indexed="9"/>
            <rFont val="Tahoma"/>
            <family val="2"/>
          </rPr>
          <t xml:space="preserve">EngineerPTO1:
</t>
        </r>
        <r>
          <rPr>
            <sz val="8"/>
            <color indexed="9"/>
            <rFont val="Tahoma"/>
            <family val="2"/>
          </rPr>
          <t>5п.-1</t>
        </r>
      </text>
    </comment>
    <comment ref="C9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3п.-1
4п.-1</t>
        </r>
      </text>
    </comment>
    <comment ref="C9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4 под.-1
2п.-1</t>
        </r>
      </text>
    </comment>
    <comment ref="C9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2п.-2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3п.-2
4п.-3</t>
        </r>
      </text>
    </comment>
    <comment ref="C10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кв.-22
кв.50-7 п.м.</t>
        </r>
      </text>
    </comment>
    <comment ref="C10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 xml:space="preserve">4п.-0,5
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кв.-172-10, парапет - 24,6м2, вентшахты -7,5м2, ремонт примыканий -16,5
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кв.179-10 м2
104-4,5
107-4,5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10.04-16.04(4шт)</t>
        </r>
      </text>
    </comment>
    <comment ref="C86" authorId="0">
      <text>
        <r>
          <rPr>
            <b/>
            <sz val="8"/>
            <color indexed="9"/>
            <rFont val="Tahoma"/>
            <family val="2"/>
          </rPr>
          <t>кровля вентшахты 1м2</t>
        </r>
      </text>
    </comment>
    <comment ref="C8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5п.-1</t>
        </r>
      </text>
    </comment>
    <comment ref="C9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 под.-сварка</t>
        </r>
      </text>
    </comment>
    <comment ref="C9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 п.-1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4п.-1
5п.-1</t>
        </r>
      </text>
    </comment>
    <comment ref="C9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1п-1</t>
        </r>
      </text>
    </comment>
    <comment ref="C9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5п.-2</t>
        </r>
      </text>
    </comment>
    <comment ref="C100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3п.-3+3
4п.-6</t>
        </r>
      </text>
    </comment>
    <comment ref="C10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1п.-3
2п.-12</t>
        </r>
      </text>
    </comment>
    <comment ref="C10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4п.-1+1
5п-2</t>
        </r>
      </text>
    </comment>
    <comment ref="C10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5 под.-0,2</t>
        </r>
      </text>
    </comment>
    <comment ref="C105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5п.-2+4</t>
        </r>
      </text>
    </comment>
    <comment ref="C10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5п.-1+1
4п.-1+1
3п.-1</t>
        </r>
      </text>
    </comment>
    <comment ref="C108" authorId="0">
      <text>
        <r>
          <rPr>
            <b/>
            <sz val="9"/>
            <color indexed="9"/>
            <rFont val="Tahoma"/>
            <family val="2"/>
          </rPr>
          <t xml:space="preserve">Дацко:
</t>
        </r>
        <r>
          <rPr>
            <sz val="9"/>
            <color indexed="9"/>
            <rFont val="Tahoma"/>
            <family val="2"/>
          </rPr>
          <t>1п.-0,1
3п.-0,1+0,1
4п.-0,1</t>
        </r>
      </text>
    </comment>
    <comment ref="C11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кв.-126 прокраска</t>
        </r>
      </text>
    </comment>
    <comment ref="C11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2п.-1
1п.-1+1+1</t>
        </r>
      </text>
    </comment>
    <comment ref="C11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4,5 эл.щитовая кровля</t>
        </r>
      </text>
    </comment>
    <comment ref="C12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сварка;
1п.-1+1
2п.-1
2 шт- утепление дверей
1шт- укрепление дверной коробки</t>
        </r>
      </text>
    </comment>
    <comment ref="C12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1п.-1
5п.-1
2п.-1</t>
        </r>
      </text>
    </comment>
    <comment ref="C12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13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установили на дом №3 (2 шт.),2 шт. лежат возле Офиса</t>
        </r>
      </text>
    </comment>
    <comment ref="C14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вокруг маш.отдел и вент.:
22.03-27.03(1раз)
снег:
10.04.-16.04(1раз)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8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приклеивания старого материала-10, вентшахт, примыканий</t>
        </r>
      </text>
    </comment>
    <comment ref="C83" authorId="0">
      <text>
        <r>
          <rPr>
            <b/>
            <sz val="9"/>
            <color indexed="9"/>
            <rFont val="Tahoma"/>
            <family val="2"/>
          </rPr>
          <t xml:space="preserve">Дацко:
</t>
        </r>
        <r>
          <rPr>
            <sz val="9"/>
            <color indexed="9"/>
            <rFont val="Tahoma"/>
            <family val="2"/>
          </rPr>
          <t>монтаж фанового стояка кв.105,кв.33,кв.175
3п.-вентшахты</t>
        </r>
      </text>
    </comment>
    <comment ref="C84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вент.-12</t>
        </r>
      </text>
    </comment>
    <comment ref="C85" authorId="0">
      <text>
        <r>
          <rPr>
            <b/>
            <sz val="9"/>
            <color indexed="9"/>
            <rFont val="Tahoma"/>
            <family val="2"/>
          </rPr>
          <t xml:space="preserve">Дацко:
</t>
        </r>
        <r>
          <rPr>
            <sz val="9"/>
            <color indexed="9"/>
            <rFont val="Tahoma"/>
            <family val="2"/>
          </rPr>
          <t>дополнительно утепление кв.105</t>
        </r>
      </text>
    </comment>
    <comment ref="C9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3 под.-1+1</t>
        </r>
      </text>
    </comment>
    <comment ref="C9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 п.-1
1п.-1</t>
        </r>
      </text>
    </comment>
    <comment ref="C9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1п.-1(уст-ка навесов)
2 под.-1
5п.-1</t>
        </r>
      </text>
    </comment>
    <comment ref="C9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2п.-0,2
3п.-0,3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 под.-1</t>
        </r>
      </text>
    </comment>
    <comment ref="C98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2п.-6
4п.-3
3п.-2
1п.-18</t>
        </r>
      </text>
    </comment>
    <comment ref="C10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3 под.-0,2+0,4+1,2
4п.-0,4+1,2
1п.-0,8+1,2+1,2+8,5+(кв.121-4)
2п.-0,4+1,2+1,2
5п.-0,2</t>
        </r>
      </text>
    </comment>
    <comment ref="C110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 xml:space="preserve">1п.-1
</t>
        </r>
      </text>
    </comment>
    <comment ref="C11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3п.-1</t>
        </r>
      </text>
    </comment>
    <comment ref="C11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 шт- утепление дверей</t>
        </r>
      </text>
    </comment>
    <comment ref="C13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вокруг маш.отдел и вент.:
22.03-27.03(1раз)</t>
        </r>
      </text>
    </comment>
  </commentList>
</comments>
</file>

<file path=xl/comments36.xml><?xml version="1.0" encoding="utf-8"?>
<comments xmlns="http://schemas.openxmlformats.org/spreadsheetml/2006/main">
  <authors>
    <author/>
  </authors>
  <commentLis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8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3п.-1</t>
        </r>
      </text>
    </comment>
    <comment ref="C8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1п.-1
2п.-1</t>
        </r>
      </text>
    </comment>
    <comment ref="C9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3п.-1</t>
        </r>
      </text>
    </comment>
    <comment ref="C9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1п.-3
3п.-6+6</t>
        </r>
      </text>
    </comment>
    <comment ref="C9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9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3п.-0,4+1,2+0,6+1
2п.-0,8+1,2+2,4+0,4
</t>
        </r>
      </text>
    </comment>
    <comment ref="C9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2п.-1</t>
        </r>
      </text>
    </comment>
    <comment ref="C9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3п.-1</t>
        </r>
      </text>
    </comment>
    <comment ref="C107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2п.-1
3п.-1+1</t>
        </r>
      </text>
    </comment>
    <comment ref="C12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кв.23-1</t>
        </r>
      </text>
    </comment>
  </commentList>
</comments>
</file>

<file path=xl/comments37.xml><?xml version="1.0" encoding="utf-8"?>
<comments xmlns="http://schemas.openxmlformats.org/spreadsheetml/2006/main">
  <authors>
    <author/>
  </authors>
  <commentLis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5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 п.-3+3</t>
        </r>
      </text>
    </comment>
    <comment ref="C8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3п.-3</t>
        </r>
      </text>
    </comment>
    <comment ref="C8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2п.-1</t>
        </r>
      </text>
    </comment>
    <comment ref="C9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 под.-1+1
1 под.-1</t>
        </r>
      </text>
    </comment>
    <comment ref="C9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кв.62-29,6
кв.111-14,9
кв.55,59-27,6
</t>
        </r>
      </text>
    </comment>
    <comment ref="C10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10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заявление №108кв.</t>
        </r>
      </text>
    </comment>
    <comment ref="C10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2п.-1+1+1(сварка)
4П.-1(СВАРКА)</t>
        </r>
      </text>
    </comment>
  </commentList>
</comments>
</file>

<file path=xl/comments38.xml><?xml version="1.0" encoding="utf-8"?>
<comments xmlns="http://schemas.openxmlformats.org/spreadsheetml/2006/main">
  <authors>
    <author/>
  </authors>
  <commentLis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111 кв.-2
112 кв.-2
113 кв.-2</t>
        </r>
      </text>
    </comment>
    <comment ref="C8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4 под.-1</t>
        </r>
      </text>
    </comment>
    <comment ref="C8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3п.-0,5+0,2+0,2
</t>
        </r>
      </text>
    </comment>
    <comment ref="C9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1п.-1
3п.-1</t>
        </r>
      </text>
    </comment>
    <comment ref="C9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3п.-0,4+0,4
1п.-0,8+3,6
2п.-0,4
4п.-0,8+0,8
</t>
        </r>
      </text>
    </comment>
    <comment ref="C9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кв.159-24,9
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кв.135,139,242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10.04-16.04(7шт)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фановые-25 шт.</t>
        </r>
      </text>
    </comment>
    <comment ref="C8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5п.-1
7п-2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7п.-1+1</t>
        </r>
      </text>
    </comment>
    <comment ref="C9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4п.-3</t>
        </r>
      </text>
    </comment>
    <comment ref="C9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6п.-0,5</t>
        </r>
      </text>
    </comment>
    <comment ref="C95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 под.-1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6п.-1,2+1,2+1,2
3п.-0,4+1,2</t>
        </r>
      </text>
    </comment>
    <comment ref="C9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 пд.-18
2 под.-5
1 под.-7
3 под.-8</t>
        </r>
      </text>
    </comment>
    <comment ref="C10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кв.63-34,9
кв.138-24,9
кв.198-34,9
кв.176-15
кв.216-14</t>
        </r>
      </text>
    </comment>
    <comment ref="C11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кв.176-4</t>
        </r>
      </text>
    </comment>
    <comment ref="C11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4 под.-1
2п.-1</t>
        </r>
      </text>
    </comment>
    <comment ref="C11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кв.-106/12+146(заявление)
38 кв.-24(заявление)</t>
        </r>
      </text>
    </comment>
    <comment ref="C13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6п.-1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шт-утепление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шт утепление</t>
        </r>
      </text>
    </comment>
    <comment ref="C87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сварка; 4 п.-1
2п.-1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ПАТ кв.20</t>
        </r>
      </text>
    </comment>
    <comment ref="C114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кв.20-1
10.12-кв.18(1 шт.)
21.12.кв.-16,19 (2 шт.)
31.12 кв.16(1 шт.)</t>
        </r>
      </text>
    </comment>
    <comment ref="C11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10.04-16.04(4шт)</t>
        </r>
      </text>
    </comment>
    <comment ref="C11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11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20.08-4 шт.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A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0" authorId="0">
      <text>
        <r>
          <rPr>
            <b/>
            <sz val="8"/>
            <color indexed="9"/>
            <rFont val="Tahoma"/>
            <family val="2"/>
          </rPr>
          <t xml:space="preserve">DeputyManager:
</t>
        </r>
        <r>
          <rPr>
            <sz val="8"/>
            <color indexed="9"/>
            <rFont val="Tahoma"/>
            <family val="2"/>
          </rPr>
          <t xml:space="preserve">кровля, парапет, примыкания
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фановых стояков-12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39 кв.-утепление мин.ватой-0,5 м3</t>
        </r>
      </text>
    </comment>
    <comment ref="C8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75 кв.-1,8
77кв.-1,8
76 кв.-2,2</t>
        </r>
      </text>
    </comment>
    <comment ref="C94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 под.-1</t>
        </r>
      </text>
    </comment>
    <comment ref="C9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2п.-0,5</t>
        </r>
      </text>
    </comment>
    <comment ref="C9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2п.-10</t>
        </r>
      </text>
    </comment>
    <comment ref="C9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кв.-26-15,3
кв.77-24,9
кв.1-8</t>
        </r>
      </text>
    </comment>
    <comment ref="C10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кв.47-ранее заявление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A4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9" authorId="0">
      <text>
        <r>
          <rPr>
            <b/>
            <sz val="8"/>
            <color indexed="9"/>
            <rFont val="Tahoma"/>
            <family val="2"/>
          </rPr>
          <t xml:space="preserve">DeputyManager:
</t>
        </r>
        <r>
          <rPr>
            <sz val="8"/>
            <color indexed="9"/>
            <rFont val="Tahoma"/>
            <family val="2"/>
          </rPr>
          <t>парапет, примыкание фановых, вентшахт</t>
        </r>
      </text>
    </comment>
    <comment ref="C8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вентшахты</t>
        </r>
      </text>
    </comment>
    <comment ref="C8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под.-1</t>
        </r>
      </text>
    </comment>
    <comment ref="C8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1п.-0,5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кв.33,40-81
кв.37-7</t>
        </r>
      </text>
    </comment>
    <comment ref="C9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 (сварка)</t>
        </r>
      </text>
    </comment>
  </commentList>
</comments>
</file>

<file path=xl/comments43.xml><?xml version="1.0" encoding="utf-8"?>
<comments xmlns="http://schemas.openxmlformats.org/spreadsheetml/2006/main">
  <authors>
    <author/>
  </authors>
  <commentLis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 172 заявление (парапет)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5п.-2</t>
        </r>
      </text>
    </comment>
    <comment ref="C85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3 п.-1+1
4п.-1
6п.-1+1</t>
        </r>
      </text>
    </comment>
    <comment ref="C8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6 под.-1
5 под.-1+1</t>
        </r>
      </text>
    </comment>
    <comment ref="C8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8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
6п.-2</t>
        </r>
      </text>
    </comment>
    <comment ref="C90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5п.-3
6п.-3,5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1п.-0,7+2,5
6п.-0,5
4п.-0,5
</t>
        </r>
      </text>
    </comment>
    <comment ref="C9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1п.-1+1+1+1
4п.-1+1
5п.-1+2</t>
        </r>
      </text>
    </comment>
    <comment ref="C9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5п.-0,8+0,4+0,6
4п.-0,4
3п.-0,4
1п.-0,8+0,8
6п.-0,4+0,8+0,4+0,8
2п.-0,3</t>
        </r>
      </text>
    </comment>
    <comment ref="C94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снятые жильцами</t>
        </r>
      </text>
    </comment>
    <comment ref="C100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 под.-1
5 под.-1</t>
        </r>
      </text>
    </comment>
    <comment ref="C10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3п.-1</t>
        </r>
      </text>
    </comment>
    <comment ref="C10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кв.-18(заявление)</t>
        </r>
      </text>
    </comment>
    <comment ref="C12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108,111</t>
        </r>
      </text>
    </comment>
  </commentList>
</comments>
</file>

<file path=xl/comments44.xml><?xml version="1.0" encoding="utf-8"?>
<comments xmlns="http://schemas.openxmlformats.org/spreadsheetml/2006/main">
  <authors>
    <author/>
  </authors>
  <commentLis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10.04-16.04(4шт)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фановый стояк-1
монтаж фан. Стояка кв. 127</t>
        </r>
      </text>
    </comment>
    <comment ref="C8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кв.127-0,6 (фановые)</t>
        </r>
      </text>
    </comment>
    <comment ref="C88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5п.-3
3п.-3+2+1
4п.-2+1</t>
        </r>
      </text>
    </comment>
    <comment ref="C8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5п.-1</t>
        </r>
      </text>
    </comment>
    <comment ref="C90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5 п.-1+1
4п.-1+1
3п.-1
6п.-1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2п.-1+1
4п.-1
5п.-1+1
3п.-1</t>
        </r>
      </text>
    </comment>
    <comment ref="C9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2п.-1+1+1
4 под.-1
5 под.-1+1
1п.-1</t>
        </r>
      </text>
    </comment>
    <comment ref="C9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1п.-2
5п.-1</t>
        </r>
      </text>
    </comment>
    <comment ref="C9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1п.-4</t>
        </r>
      </text>
    </comment>
    <comment ref="C9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 под.-1</t>
        </r>
      </text>
    </comment>
    <comment ref="C97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1п.-3+3
2п.-6</t>
        </r>
      </text>
    </comment>
    <comment ref="C98" authorId="0">
      <text>
        <r>
          <rPr>
            <b/>
            <sz val="9"/>
            <color indexed="9"/>
            <rFont val="Tahoma"/>
            <family val="2"/>
          </rPr>
          <t xml:space="preserve">Дацко:
</t>
        </r>
        <r>
          <rPr>
            <sz val="9"/>
            <color indexed="9"/>
            <rFont val="Tahoma"/>
            <family val="2"/>
          </rPr>
          <t>2п-2
3п-2+1</t>
        </r>
      </text>
    </comment>
    <comment ref="C9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2п.-1+1
5п.-1</t>
        </r>
      </text>
    </comment>
    <comment ref="C10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3п.-0,8+0,8+0,8+0,4+1
6п.-0,4+0,8+0,8+0,4+0,8+0,8
1п.-2,4+0,8+0,8+0,5+0,3+0,7
2п.-0,8+0,8+1,5+0,5
4п.-0,8+0,8+0,8+0,8+0,4+0,3
5п.-0,8+0,4
</t>
        </r>
      </text>
    </comment>
    <comment ref="C10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снятые жильцами</t>
        </r>
      </text>
    </comment>
    <comment ref="C10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2п.-4</t>
        </r>
      </text>
    </comment>
    <comment ref="C10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кв.-9 (заявление)</t>
        </r>
      </text>
    </comment>
    <comment ref="C11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5п.-1</t>
        </r>
      </text>
    </comment>
    <comment ref="C11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 шт -укрепление двер. Коробок
3 шт- утепление дверей</t>
        </r>
      </text>
    </comment>
    <comment ref="C11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2п.-1</t>
        </r>
      </text>
    </comment>
    <comment ref="C126" authorId="0">
      <text>
        <r>
          <rPr>
            <b/>
            <sz val="9"/>
            <color indexed="9"/>
            <rFont val="Tahoma"/>
            <family val="2"/>
          </rPr>
          <t xml:space="preserve">Дацко:
</t>
        </r>
        <r>
          <rPr>
            <sz val="9"/>
            <color indexed="9"/>
            <rFont val="Tahoma"/>
            <family val="2"/>
          </rPr>
          <t>61 шт-центр</t>
        </r>
      </text>
    </comment>
    <comment ref="C13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вокруг маш.отдел и вент.:
22.03-27.03(1раз)
снег:
10.04-16.04(1раз)</t>
        </r>
      </text>
    </comment>
  </commentList>
</comments>
</file>

<file path=xl/comments45.xml><?xml version="1.0" encoding="utf-8"?>
<comments xmlns="http://schemas.openxmlformats.org/spreadsheetml/2006/main">
  <authors>
    <author/>
  </authors>
  <commentLis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0" authorId="0">
      <text>
        <r>
          <rPr>
            <b/>
            <sz val="8"/>
            <color indexed="9"/>
            <rFont val="Tahoma"/>
            <family val="2"/>
          </rPr>
          <t xml:space="preserve">DeputyManager:
</t>
        </r>
        <r>
          <rPr>
            <sz val="8"/>
            <color indexed="9"/>
            <rFont val="Tahoma"/>
            <family val="2"/>
          </rPr>
          <t>кровля, примыкания фановых, вентшахт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под.-1</t>
        </r>
      </text>
    </comment>
    <comment ref="C86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1п.-1
4п.-1
2п.-1</t>
        </r>
      </text>
    </comment>
    <comment ref="C8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4п.-6
2п.-3</t>
        </r>
      </text>
    </comment>
    <comment ref="C9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 xml:space="preserve">3п.-0,8+0,8+0,8
4п.-1,05+1,05+0,8
</t>
        </r>
      </text>
    </comment>
    <comment ref="C9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95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1п.-1+1
3п.-1</t>
        </r>
      </text>
    </comment>
    <comment ref="C9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9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
1шт- укрепление дверной коробки
2п.-1 сварка</t>
        </r>
      </text>
    </comment>
    <comment ref="C11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вокруг маш.отдел и вент.:
22.03-27.03(1раз)</t>
        </r>
      </text>
    </comment>
  </commentList>
</comments>
</file>

<file path=xl/comments46.xml><?xml version="1.0" encoding="utf-8"?>
<comments xmlns="http://schemas.openxmlformats.org/spreadsheetml/2006/main">
  <authors>
    <author/>
  </authors>
  <commentLis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DeputyManager:
</t>
        </r>
        <r>
          <rPr>
            <sz val="8"/>
            <color indexed="9"/>
            <rFont val="Tahoma"/>
            <family val="2"/>
          </rPr>
          <t>кровля, примыкания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10.04-16.04(4шт)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монтаж фан. стояка кв.107</t>
        </r>
      </text>
    </comment>
    <comment ref="C8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 108-107 (фановые)</t>
        </r>
      </text>
    </comment>
    <comment ref="C86" authorId="0">
      <text>
        <r>
          <rPr>
            <b/>
            <sz val="9"/>
            <color indexed="9"/>
            <rFont val="Tahoma"/>
            <family val="2"/>
          </rPr>
          <t xml:space="preserve">Дацко:
</t>
        </r>
        <r>
          <rPr>
            <sz val="9"/>
            <color indexed="9"/>
            <rFont val="Tahoma"/>
            <family val="2"/>
          </rPr>
          <t>сварка</t>
        </r>
      </text>
    </comment>
    <comment ref="C8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4п.-2
5п.-2+2 
3п.-1</t>
        </r>
      </text>
    </comment>
    <comment ref="C9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
2п.-1
3п.-1
4п.-2+4
5п.-2
установка ручек-2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под.-1
1п.-1
4п.-1</t>
        </r>
      </text>
    </comment>
    <comment ref="C9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1п.-1
4п.-1
2п.-1</t>
        </r>
      </text>
    </comment>
    <comment ref="C9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4 под.-1+1сварка;(утеп. пеной)
2п.-2(сварка)
3п.-1(сварка)</t>
        </r>
      </text>
    </comment>
    <comment ref="C9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4п.-1</t>
        </r>
      </text>
    </comment>
    <comment ref="C9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5п.-2
4п.-2+1+3
1п.-1</t>
        </r>
      </text>
    </comment>
    <comment ref="C9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2п.-1
5п.-6
4п.-3
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2п.-2</t>
        </r>
      </text>
    </comment>
    <comment ref="C9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3п.-1
4п.-2</t>
        </r>
      </text>
    </comment>
    <comment ref="C9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 xml:space="preserve">4 под.-17+8+2
5п.-1,05
1п.-0,4+0,8+0,8+0,4+0,6
2п.-0,8+0,8+0,8+2
3п.-0,8+0,4
</t>
        </r>
      </text>
    </comment>
    <comment ref="C10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1п.-4+5
</t>
        </r>
      </text>
    </comment>
    <comment ref="C10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 под.-1</t>
        </r>
      </text>
    </comment>
    <comment ref="C10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2п.-1
4п.-1</t>
        </r>
      </text>
    </comment>
    <comment ref="C10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по заявлению жильзов кв. №9,17,25 (1 подьезд)</t>
        </r>
      </text>
    </comment>
    <comment ref="C10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кв.25-44,6
кв.17-15</t>
        </r>
      </text>
    </comment>
    <comment ref="C11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4п.-1
5п.-1</t>
        </r>
      </text>
    </comment>
    <comment ref="C11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кровля эл. Щитовой-4,5 м2
0,8-тамбур</t>
        </r>
      </text>
    </comment>
    <comment ref="C11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4п.-0,7</t>
        </r>
      </text>
    </comment>
    <comment ref="C11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сварка;1п-1+1
2 шт-утепление дверей</t>
        </r>
      </text>
    </comment>
    <comment ref="C11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1п.-1
2п.-1</t>
        </r>
      </text>
    </comment>
    <comment ref="C133" authorId="0">
      <text>
        <r>
          <rPr>
            <b/>
            <sz val="8"/>
            <color indexed="9"/>
            <rFont val="Tahoma"/>
            <family val="2"/>
          </rPr>
          <t xml:space="preserve">DeputyManager:
</t>
        </r>
        <r>
          <rPr>
            <sz val="8"/>
            <color indexed="9"/>
            <rFont val="Tahoma"/>
            <family val="2"/>
          </rPr>
          <t>на детской площадке</t>
        </r>
      </text>
    </comment>
    <comment ref="C13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вокруг маш.отдел и вент.:
22.03-27.03(1раз)
снег:
10.04-16.04-(1раз)</t>
        </r>
      </text>
    </comment>
    <comment ref="C13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5п.-0,8+0,8</t>
        </r>
      </text>
    </comment>
  </commentList>
</comments>
</file>

<file path=xl/comments47.xml><?xml version="1.0" encoding="utf-8"?>
<comments xmlns="http://schemas.openxmlformats.org/spreadsheetml/2006/main">
  <authors>
    <author/>
  </authors>
  <commentLis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0" authorId="0">
      <text>
        <r>
          <rPr>
            <b/>
            <sz val="8"/>
            <color indexed="9"/>
            <rFont val="Tahoma"/>
            <family val="2"/>
          </rPr>
          <t xml:space="preserve">DeputyManager:
</t>
        </r>
        <r>
          <rPr>
            <sz val="8"/>
            <color indexed="9"/>
            <rFont val="Tahoma"/>
            <family val="2"/>
          </rPr>
          <t>кровля, парапет, вентшахты, примыкание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вывод на кровлю с утеплением-кв.75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ветшахты</t>
        </r>
      </text>
    </comment>
    <comment ref="C88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 под.-1
2 под.-1+1</t>
        </r>
      </text>
    </comment>
    <comment ref="C9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под.-1</t>
        </r>
      </text>
    </comment>
    <comment ref="C91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1п.-3</t>
        </r>
      </text>
    </comment>
    <comment ref="C9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п.-1,3</t>
        </r>
      </text>
    </comment>
  </commentList>
</comments>
</file>

<file path=xl/comments48.xml><?xml version="1.0" encoding="utf-8"?>
<comments xmlns="http://schemas.openxmlformats.org/spreadsheetml/2006/main">
  <authors>
    <author/>
  </authors>
  <commentLis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8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39 кв.-1,7 м2
38 кв.-1,7 м2
37 кв.-1,7 м2</t>
        </r>
      </text>
    </comment>
    <comment ref="C86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8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1п.-1</t>
        </r>
      </text>
    </comment>
    <comment ref="C8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 под.-2
3 полд.-3</t>
        </r>
      </text>
    </comment>
    <comment ref="C90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2п.-6</t>
        </r>
      </text>
    </comment>
    <comment ref="C9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1п.-0,6</t>
        </r>
      </text>
    </comment>
    <comment ref="C94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2п.-2+3+3</t>
        </r>
      </text>
    </comment>
    <comment ref="C10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шт- утепление дверей</t>
        </r>
      </text>
    </comment>
    <comment ref="C11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10.04-16.04(1раз)</t>
        </r>
      </text>
    </comment>
  </commentList>
</comments>
</file>

<file path=xl/comments49.xml><?xml version="1.0" encoding="utf-8"?>
<comments xmlns="http://schemas.openxmlformats.org/spreadsheetml/2006/main">
  <authors>
    <author/>
  </authors>
  <commentLis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4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1м*площадь ствола МП*кол-во этажей* кол-во подъездов</t>
        </r>
      </text>
    </comment>
    <comment ref="A49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0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приклеевание страрого материала-6, вентшахты, примыкания</t>
        </r>
      </text>
    </comment>
    <comment ref="C82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14 шт-фан.
28 шт-вент.</t>
        </r>
      </text>
    </comment>
    <comment ref="C8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 xml:space="preserve">2п.-0,2
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3п.-1</t>
        </r>
      </text>
    </comment>
    <comment ref="C9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2п.-1</t>
        </r>
      </text>
    </comment>
    <comment ref="C96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2п.-6</t>
        </r>
      </text>
    </comment>
    <comment ref="C97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1п.-0,5</t>
        </r>
      </text>
    </comment>
    <comment ref="C10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кв.91-24,9
кв.79-11,3
кв.47-16,5</t>
        </r>
      </text>
    </comment>
    <comment ref="C12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 под.-1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шт- утепление</t>
        </r>
      </text>
    </comment>
    <comment ref="C88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сварка;2п.-1
4п.-1+1(смазка, навесы)</t>
        </r>
      </text>
    </comment>
    <comment ref="C9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п.-1(сварка)</t>
        </r>
      </text>
    </comment>
    <comment ref="C110" authorId="0">
      <text>
        <r>
          <rPr>
            <b/>
            <sz val="8"/>
            <color indexed="9"/>
            <rFont val="Tahoma"/>
            <family val="2"/>
          </rPr>
          <t xml:space="preserve">EngineerPTO1:
</t>
        </r>
        <r>
          <rPr>
            <sz val="8"/>
            <color indexed="9"/>
            <rFont val="Tahoma"/>
            <family val="2"/>
          </rPr>
          <t>10.12 кв.-8(1 шт.)</t>
        </r>
      </text>
    </comment>
    <comment ref="C11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06.04-4 шт</t>
        </r>
      </text>
    </comment>
    <comment ref="C11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20.08-4 шт.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3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6 шт.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вентшахты-7+2+7</t>
        </r>
      </text>
    </comment>
    <comment ref="C8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шт-оцинковка</t>
        </r>
      </text>
    </comment>
    <comment ref="C8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смазка:
1п.-1+1
2п.-1
сварка:
1п.-1</t>
        </r>
      </text>
    </comment>
    <comment ref="C90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1п.-2</t>
        </r>
      </text>
    </comment>
    <comment ref="C94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1п.-1+2</t>
        </r>
      </text>
    </comment>
    <comment ref="C9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ПАТ-6 шт</t>
        </r>
      </text>
    </comment>
    <comment ref="C119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сушка для белья</t>
        </r>
      </text>
    </comment>
    <comment ref="C12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20.08-2 шт.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A50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1" authorId="0">
      <text>
        <r>
          <rPr>
            <b/>
            <sz val="9"/>
            <color indexed="9"/>
            <rFont val="Tahoma"/>
            <family val="2"/>
          </rPr>
          <t xml:space="preserve">Дацко:
</t>
        </r>
        <r>
          <rPr>
            <sz val="9"/>
            <color indexed="9"/>
            <rFont val="Tahoma"/>
            <family val="2"/>
          </rPr>
          <t>кв.69-2 м2, вентшахт</t>
        </r>
      </text>
    </comment>
    <comment ref="C82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13.03-19.03 (2 шт)
повторно:
20.03-25.03(2шт)
27.03-02.04(2шт)
03.04-10.04(2шт)
02.08-07.08-2 шт.</t>
        </r>
      </text>
    </comment>
    <comment ref="C83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вентшахты-2</t>
        </r>
      </text>
    </comment>
    <comment ref="C9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 п.-0,7</t>
        </r>
      </text>
    </comment>
    <comment ref="C12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20.08-2 шт.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4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A5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см. площадь ЖФ в произв. программе</t>
        </r>
      </text>
    </comment>
    <comment ref="C77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8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13.03-19.03 (2 шт)
повторно:
20.03-25.03(2шт)
27.03-02.04(2шт)
03.04-10.04(2шт)
14.08-20.08(1 шт.)</t>
        </r>
      </text>
    </comment>
    <comment ref="C89" authorId="0">
      <text>
        <r>
          <rPr>
            <b/>
            <sz val="10"/>
            <color indexed="9"/>
            <rFont val="Tahoma"/>
            <family val="2"/>
          </rPr>
          <t xml:space="preserve">дум:
</t>
        </r>
        <r>
          <rPr>
            <sz val="10"/>
            <color indexed="9"/>
            <rFont val="Tahoma"/>
            <family val="2"/>
          </rPr>
          <t>сварка;2п.-1</t>
        </r>
      </text>
    </comment>
    <comment ref="C9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2п.-1</t>
        </r>
      </text>
    </comment>
    <comment ref="C108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1 шт- ремонт</t>
        </r>
      </text>
    </comment>
    <comment ref="C120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20.08-2 шт.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2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добавл. В расход воды</t>
        </r>
      </text>
    </comment>
    <comment ref="A43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см площадь мусорокамер</t>
        </r>
      </text>
    </comment>
    <comment ref="C75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>кол-во проживающих * 1,15м3</t>
        </r>
      </text>
    </comment>
    <comment ref="C76" authorId="0">
      <text>
        <r>
          <rPr>
            <b/>
            <sz val="8"/>
            <color indexed="9"/>
            <rFont val="Tahoma"/>
            <family val="2"/>
          </rPr>
          <t xml:space="preserve">Name:
</t>
        </r>
        <r>
          <rPr>
            <sz val="8"/>
            <color indexed="9"/>
            <rFont val="Tahoma"/>
            <family val="2"/>
          </rPr>
          <t xml:space="preserve">0,75м3 *н кол-во подъездов*на 2 раза внед* кол-во недель
</t>
        </r>
      </text>
    </comment>
    <comment ref="C8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кв.14-1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в работе -14 кв.
кв.39-1</t>
        </r>
      </text>
    </comment>
    <comment ref="C85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50 кв.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2п-1(замена навеса)
смазка-1
3 п.-1(навесы, смазка)</t>
        </r>
      </text>
    </comment>
    <comment ref="C103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51 кв.-32
54 кв.-14</t>
        </r>
      </text>
    </comment>
    <comment ref="C113" authorId="0">
      <text>
        <r>
          <rPr>
            <b/>
            <sz val="8"/>
            <color indexed="9"/>
            <rFont val="Tahoma"/>
            <family val="2"/>
          </rPr>
          <t xml:space="preserve">EngineerPTO1:
</t>
        </r>
        <r>
          <rPr>
            <sz val="8"/>
            <color indexed="9"/>
            <rFont val="Tahoma"/>
            <family val="2"/>
          </rPr>
          <t>10.12-кв.48,50(2 шт.)
21.12 кв.-50,35(2 шт.)</t>
        </r>
      </text>
    </comment>
    <comment ref="C114" authorId="0">
      <text>
        <r>
          <rPr>
            <b/>
            <sz val="8"/>
            <color indexed="9"/>
            <rFont val="Tahoma"/>
            <family val="2"/>
          </rPr>
          <t xml:space="preserve">Irina:
</t>
        </r>
        <r>
          <rPr>
            <sz val="8"/>
            <color indexed="9"/>
            <rFont val="Tahoma"/>
            <family val="2"/>
          </rPr>
          <t>20.08-4 шт.</t>
        </r>
      </text>
    </comment>
  </commentList>
</comments>
</file>

<file path=xl/sharedStrings.xml><?xml version="1.0" encoding="utf-8"?>
<sst xmlns="http://schemas.openxmlformats.org/spreadsheetml/2006/main" count="13495" uniqueCount="665">
  <si>
    <t>Отчет</t>
  </si>
  <si>
    <t>управляющей организации ООО "Дом-сервис"</t>
  </si>
  <si>
    <t>о выполнении договора управлени многоквартирным домом</t>
  </si>
  <si>
    <t>по адресу г. Радужный 2 мкр. дом 1</t>
  </si>
  <si>
    <t>за 2010 год.</t>
  </si>
  <si>
    <t>Общая площадь помещений в многоквартирном доме</t>
  </si>
  <si>
    <t>6049,9 м2</t>
  </si>
  <si>
    <t>в том числе жилая площадь</t>
  </si>
  <si>
    <t>3444,5 м2</t>
  </si>
  <si>
    <t>Общая площадь нежилых помещений</t>
  </si>
  <si>
    <t>357,6 м2</t>
  </si>
  <si>
    <t>Начисленные платежи за содержание и ремонт жилья</t>
  </si>
  <si>
    <t>2154473,50 руб.</t>
  </si>
  <si>
    <t>в том числе</t>
  </si>
  <si>
    <t>техническое обслуживание и текущий ремонт внутридомовых сетей:</t>
  </si>
  <si>
    <t xml:space="preserve">горячего, холодного водоснабжения и канализации </t>
  </si>
  <si>
    <t>УМП "Горводоканал"</t>
  </si>
  <si>
    <t>теплоснабжения</t>
  </si>
  <si>
    <t>УМП"Радужныйтеплосеть"</t>
  </si>
  <si>
    <t>электроснабжения</t>
  </si>
  <si>
    <t>ОАО"РГЭС"</t>
  </si>
  <si>
    <t>техническое обслуживание и текущий ремонт лифтов</t>
  </si>
  <si>
    <t>ООО "Радужныйлифтремонт"</t>
  </si>
  <si>
    <t>техническое обслуживание и текущий ремонт домофонов</t>
  </si>
  <si>
    <t>ООО "Домофон""</t>
  </si>
  <si>
    <t>складирование ТБО</t>
  </si>
  <si>
    <t>МУП по УО</t>
  </si>
  <si>
    <t>дератизация</t>
  </si>
  <si>
    <t>ФГУЗ "ЦГиЭ в ХМАО-Югре"</t>
  </si>
  <si>
    <t>вывоз ТБО, санитарное содержание территории и текущий</t>
  </si>
  <si>
    <t>ремонт строительных конструкций</t>
  </si>
  <si>
    <t xml:space="preserve">ООО "Дом-сервис" </t>
  </si>
  <si>
    <t>Процент поступивших платежей от суммы начисленных</t>
  </si>
  <si>
    <t>Перечень выполненных работ и услуг по содержанию и текущему ремонту общего имущества</t>
  </si>
  <si>
    <t>Наименовние работ и услуг</t>
  </si>
  <si>
    <t xml:space="preserve">Ед. изм. </t>
  </si>
  <si>
    <t>Объем выполненных работ и услуг</t>
  </si>
  <si>
    <t>Примечание</t>
  </si>
  <si>
    <t>Влажное подметание во всех помещениях общего пользования, мест перед загрузочными клапанами мусоропровода</t>
  </si>
  <si>
    <t>м2</t>
  </si>
  <si>
    <t>Ежедневно, кроме воскресенья</t>
  </si>
  <si>
    <t>Обметание пыли с потолков</t>
  </si>
  <si>
    <t>1 раз в 3 месяца</t>
  </si>
  <si>
    <t>Влажная протирка стен, дверей, плафонов, подоконников, оконных решеток, перил, чердачных лестниц, шкафов для электросчетчиков и слаботочных устройств, почтовых ящиков, отопительных приборов</t>
  </si>
  <si>
    <t>1 раз в месяц</t>
  </si>
  <si>
    <t>Мытье окон снаружи</t>
  </si>
  <si>
    <t>2 раза в год</t>
  </si>
  <si>
    <t>Мытье окон  изнутри</t>
  </si>
  <si>
    <t>1 раз в 3 месяц (с 01.05.по 30.09.)</t>
  </si>
  <si>
    <t>Мытье лестничных клеток и маршей</t>
  </si>
  <si>
    <t xml:space="preserve">м2 </t>
  </si>
  <si>
    <t>1 раз в неделю (с 01.05 по 30.09)</t>
  </si>
  <si>
    <t>Мытье панелей</t>
  </si>
  <si>
    <t>1 раз в месяц (с 01.05 по 30.09)</t>
  </si>
  <si>
    <t>Влажное подметание полов в лифтовых кабинах</t>
  </si>
  <si>
    <t>ежедневно</t>
  </si>
  <si>
    <t>Мытье полов в лифтовых кабинах</t>
  </si>
  <si>
    <t>1 раз в неделю (с 1.05 по 30.09)</t>
  </si>
  <si>
    <t>1 раз в 2 недели (с 1.10 по 30.04)</t>
  </si>
  <si>
    <t>Влажная протирка стен, потолков, дверей и плафонов в лифтовых кабинах</t>
  </si>
  <si>
    <t>2 раза в месяц</t>
  </si>
  <si>
    <t>Уборка чердачного и подвального помещения</t>
  </si>
  <si>
    <t>Дезинфекция полов лестничных площадок</t>
  </si>
  <si>
    <t>Дезинфекция полов в лифтовых кабинах</t>
  </si>
  <si>
    <t>Дезинфекция всех частей мусоропроводов</t>
  </si>
  <si>
    <t>Дезинфекция мусоросборников</t>
  </si>
  <si>
    <t>Профилактический осмотр мусоропровода</t>
  </si>
  <si>
    <t>шт</t>
  </si>
  <si>
    <t>Уборка мусора из мусороприемных камер, уборка мусороприемных камер</t>
  </si>
  <si>
    <t>Ежедневно, кроме воскресения</t>
  </si>
  <si>
    <t>Уборка загрузочных клапанов мусоропроводов</t>
  </si>
  <si>
    <t>1 раз в неделю</t>
  </si>
  <si>
    <t>Мойка нижних частей ствола мусоропровода</t>
  </si>
  <si>
    <t>Проверка работы вытяжной вентиляции ствола мусоропровода</t>
  </si>
  <si>
    <t>Дератизация подвального помещения</t>
  </si>
  <si>
    <t>II.Санитарное содержание земельного участка,</t>
  </si>
  <si>
    <t>входящего в состав общего имущества многоквартирного дома</t>
  </si>
  <si>
    <t>Холодный период</t>
  </si>
  <si>
    <t>Очистка территории от свежевыпавшего снега с перекидыванием снега на газоны и свободные участки территории</t>
  </si>
  <si>
    <t>выполнено в полном объеме согласно периодичности</t>
  </si>
  <si>
    <t>1 раз в сутки во время снегопада</t>
  </si>
  <si>
    <t>Очистка территории от снега наносного происхождения (подметание территории, свободных от снежного покрова)</t>
  </si>
  <si>
    <t>Посыпка территории песком</t>
  </si>
  <si>
    <t>1 раз в сутки во время гололёда</t>
  </si>
  <si>
    <t>Очистка территории от наледи и льда</t>
  </si>
  <si>
    <t>Сбрасывание снега с крыш, сбивание сосулек</t>
  </si>
  <si>
    <t>по мере образования</t>
  </si>
  <si>
    <t>Очистка урн от мусора</t>
  </si>
  <si>
    <t>1 раз в сутки</t>
  </si>
  <si>
    <t>Уборка контейнерных площадок</t>
  </si>
  <si>
    <t>Складывание наледи под водосточными трубами, с крышек канализационных и пожарных колодцев</t>
  </si>
  <si>
    <t>Подметание территории в дни без снегопада</t>
  </si>
  <si>
    <t>1 раз в 2 суток в дни без снегопада</t>
  </si>
  <si>
    <t>Очистка отмосток от снега</t>
  </si>
  <si>
    <t>3 раза в неделю</t>
  </si>
  <si>
    <t>Теплый период</t>
  </si>
  <si>
    <t>Подметание территории в дни без осадков</t>
  </si>
  <si>
    <t>Подметание территории в дни с осадками до 2 см.</t>
  </si>
  <si>
    <t>1 раз в сутки (70% территории)</t>
  </si>
  <si>
    <t>Частичная уборка территории а дни с осадками более 2см</t>
  </si>
  <si>
    <t>1 раз в сутки (50% территории)</t>
  </si>
  <si>
    <t>Очистка урон от мусора</t>
  </si>
  <si>
    <t>Промывка урн</t>
  </si>
  <si>
    <t>Уборка газонов</t>
  </si>
  <si>
    <t>1 раз в 2 суток</t>
  </si>
  <si>
    <t>Полив газонов и зелёных насаждений</t>
  </si>
  <si>
    <t>1 раз в 2 суток (в дни без осадков)</t>
  </si>
  <si>
    <t>Полив территории из шланга</t>
  </si>
  <si>
    <t>По мере необходимости</t>
  </si>
  <si>
    <t>Очистка отмосток от мусора и растительности</t>
  </si>
  <si>
    <t>III.Услуги вывоза бытовых отходов</t>
  </si>
  <si>
    <t>Вывоз твердых бытовых отходов</t>
  </si>
  <si>
    <t>м3</t>
  </si>
  <si>
    <t>Вывоз крупногабаритного мусора</t>
  </si>
  <si>
    <t xml:space="preserve"> 2 раза в неделю</t>
  </si>
  <si>
    <t>Дезинфекция мусоросборных контейнеров</t>
  </si>
  <si>
    <t>1 раз в месяц (с 01.05.по 30.09.)</t>
  </si>
  <si>
    <t>IV. Текущий ремонт и техническое обслуживание</t>
  </si>
  <si>
    <t>Кровля</t>
  </si>
  <si>
    <t>ремонт мягкой кровли</t>
  </si>
  <si>
    <t>прочистка ливневой канализации</t>
  </si>
  <si>
    <t>прочистка  вентиляции</t>
  </si>
  <si>
    <t>шт.</t>
  </si>
  <si>
    <t>ремонт  вентшахт</t>
  </si>
  <si>
    <t>Машинные отделения</t>
  </si>
  <si>
    <t>ремонт дверей</t>
  </si>
  <si>
    <t>Подъезды</t>
  </si>
  <si>
    <t>ремонт отдельных мест (шт) трубы мусоропровода</t>
  </si>
  <si>
    <t xml:space="preserve">ремонт дверей </t>
  </si>
  <si>
    <t>укрепление  пружин</t>
  </si>
  <si>
    <t>2 раза</t>
  </si>
  <si>
    <t>ремонт железных домофонных дверей</t>
  </si>
  <si>
    <t>ремонт поручней</t>
  </si>
  <si>
    <t>п.м.</t>
  </si>
  <si>
    <t>остекление</t>
  </si>
  <si>
    <t>изготовление и установка рам</t>
  </si>
  <si>
    <t>ремонт оконных рам</t>
  </si>
  <si>
    <t>Мусорокамеры</t>
  </si>
  <si>
    <t>изготовление, установка шибера</t>
  </si>
  <si>
    <t>Отмостка</t>
  </si>
  <si>
    <t>ремонт отмостки</t>
  </si>
  <si>
    <t>Цоколь (техподполье)</t>
  </si>
  <si>
    <t>установка ушек</t>
  </si>
  <si>
    <t>утепление железных люков на продухи</t>
  </si>
  <si>
    <t>ремонт решеток на продухи</t>
  </si>
  <si>
    <t>Благоустройство</t>
  </si>
  <si>
    <t>ремонт урн</t>
  </si>
  <si>
    <t>окраска урн</t>
  </si>
  <si>
    <t>установка урн</t>
  </si>
  <si>
    <t>окраска контейнеров</t>
  </si>
  <si>
    <t>посев травы</t>
  </si>
  <si>
    <t>покос травы</t>
  </si>
  <si>
    <t>окраска ограждений всего в т.ч.:</t>
  </si>
  <si>
    <t xml:space="preserve">секций </t>
  </si>
  <si>
    <t>окраска скамеек</t>
  </si>
  <si>
    <t>заготовка песка на зиму</t>
  </si>
  <si>
    <t>окраска крышек пожарных гидрантов</t>
  </si>
  <si>
    <t>Разное</t>
  </si>
  <si>
    <t>очистка фановых стояков от наледи</t>
  </si>
  <si>
    <t>очистка козырьков тамбура от снега</t>
  </si>
  <si>
    <t>очистка козырьков тамбура от мусора</t>
  </si>
  <si>
    <t>Холодное и горячее водоснабжение, канализация.</t>
  </si>
  <si>
    <t>Техническое обслуживание с типовым объемом работ</t>
  </si>
  <si>
    <t>Текущий ремонт с типовым объемом работ</t>
  </si>
  <si>
    <t>1 раз в месяц и по мере необходимости</t>
  </si>
  <si>
    <r>
      <t>Центральное отопление</t>
    </r>
    <r>
      <rPr>
        <sz val="11"/>
        <rFont val="Times New Roman"/>
        <family val="1"/>
      </rPr>
      <t xml:space="preserve">. </t>
    </r>
  </si>
  <si>
    <r>
      <t>Электроснабжение и электротехнические устройства</t>
    </r>
    <r>
      <rPr>
        <sz val="11"/>
        <rFont val="Times New Roman"/>
        <family val="1"/>
      </rPr>
      <t>.</t>
    </r>
  </si>
  <si>
    <t>1 раз год</t>
  </si>
  <si>
    <r>
      <t>Лифты</t>
    </r>
    <r>
      <rPr>
        <sz val="11"/>
        <rFont val="Times New Roman"/>
        <family val="1"/>
      </rPr>
      <t>.</t>
    </r>
  </si>
  <si>
    <t>технический осмотр лифтов с типовым объемом работ</t>
  </si>
  <si>
    <t>лифт</t>
  </si>
  <si>
    <t>3</t>
  </si>
  <si>
    <t>техническое освидетельствование лифтов</t>
  </si>
  <si>
    <t>20 октября</t>
  </si>
  <si>
    <t>страхование лифтов</t>
  </si>
  <si>
    <t>1 раз в год</t>
  </si>
  <si>
    <t>по адресу г. Радужный 2 мкр. дом 2</t>
  </si>
  <si>
    <t>10782,2 м2</t>
  </si>
  <si>
    <t>6776 м2</t>
  </si>
  <si>
    <t>1326 м2</t>
  </si>
  <si>
    <t>4135457,95 руб.</t>
  </si>
  <si>
    <t>ремонт фановых стояков и вентшахт</t>
  </si>
  <si>
    <t>ремонт примыканий машинных отделений</t>
  </si>
  <si>
    <t>ремонт ограждения кровли</t>
  </si>
  <si>
    <t>ремонт кровли</t>
  </si>
  <si>
    <t>ремонт мусороприемных клапанов</t>
  </si>
  <si>
    <t>3 раза</t>
  </si>
  <si>
    <t>ремонт  оконных ограждений</t>
  </si>
  <si>
    <t>укрепление оконных ограждений</t>
  </si>
  <si>
    <t>замена поручней</t>
  </si>
  <si>
    <t xml:space="preserve">ремонт щитов слаботочки </t>
  </si>
  <si>
    <t>устранение трещин</t>
  </si>
  <si>
    <t>ремонт дверей  входов в тех.подполье</t>
  </si>
  <si>
    <t xml:space="preserve"> установка ушек</t>
  </si>
  <si>
    <t xml:space="preserve">ремонт метал. ограждений  </t>
  </si>
  <si>
    <t>завоз песка</t>
  </si>
  <si>
    <t>обрезка деревьев</t>
  </si>
  <si>
    <t>окраска малых архитекрурных форм</t>
  </si>
  <si>
    <t>срезка арматуры</t>
  </si>
  <si>
    <t>ремонт МАФов</t>
  </si>
  <si>
    <t>демонтаж МАФов</t>
  </si>
  <si>
    <t>6 раз</t>
  </si>
  <si>
    <t>очистка кровли от снега</t>
  </si>
  <si>
    <t>очистка козырьков схода в тех.подполье от снега</t>
  </si>
  <si>
    <t>6</t>
  </si>
  <si>
    <t>20 января</t>
  </si>
  <si>
    <t>по адресу г. Радужный 2 мкр. дом 3</t>
  </si>
  <si>
    <t>6129,1 м2</t>
  </si>
  <si>
    <t>3454,9 м2</t>
  </si>
  <si>
    <t>339,7 м2</t>
  </si>
  <si>
    <t>2176977,18 руб</t>
  </si>
  <si>
    <t>ремонт примыканий фановых стояков, вентшахт</t>
  </si>
  <si>
    <t xml:space="preserve">ремонт дверей в том числе: </t>
  </si>
  <si>
    <t>Тамбура (крыльца)</t>
  </si>
  <si>
    <t xml:space="preserve">Утановка поручня </t>
  </si>
  <si>
    <t>ремонт кровли входа техподполье (мягкая)</t>
  </si>
  <si>
    <t>ремонт дверей и входов в тех.подполье</t>
  </si>
  <si>
    <t>в т.ч: установка ушек</t>
  </si>
  <si>
    <t>ремонт штукатурки</t>
  </si>
  <si>
    <t>ремонт трубы ливневой канализации</t>
  </si>
  <si>
    <t>установка замков (замена)</t>
  </si>
  <si>
    <t>ремонт тратуара</t>
  </si>
  <si>
    <t>завоз торфа</t>
  </si>
  <si>
    <t>планировка торфа</t>
  </si>
  <si>
    <t>9 раз</t>
  </si>
  <si>
    <t>17 февраля.</t>
  </si>
  <si>
    <t>по адресу г. Радужный 2 мкр. дом 4</t>
  </si>
  <si>
    <t>3546,8 м2</t>
  </si>
  <si>
    <t>2313,5 м2</t>
  </si>
  <si>
    <t>162 м2</t>
  </si>
  <si>
    <t>855183,96 руб.</t>
  </si>
  <si>
    <t>УМП"радужныйтеплосеть"</t>
  </si>
  <si>
    <t>ООО "Техносервис""</t>
  </si>
  <si>
    <t>отсутствует</t>
  </si>
  <si>
    <t>ремонт в местах примык. вентшахт, фановых</t>
  </si>
  <si>
    <t>Чердачное помещение</t>
  </si>
  <si>
    <t>ремонт фановых стояков (утепление)</t>
  </si>
  <si>
    <t>утепление люка выхода на кровлю</t>
  </si>
  <si>
    <t>Стены</t>
  </si>
  <si>
    <t>ремонт межпанел. Швов.</t>
  </si>
  <si>
    <t>устранение трещин,</t>
  </si>
  <si>
    <t>ремонт крыльца</t>
  </si>
  <si>
    <t>установка замков</t>
  </si>
  <si>
    <t>планировка песка</t>
  </si>
  <si>
    <t>окраска бордюра</t>
  </si>
  <si>
    <t>очистка балконных козырьков от снега сосулек</t>
  </si>
  <si>
    <t>демонтаж кладовых</t>
  </si>
  <si>
    <t>установка информационных досок</t>
  </si>
  <si>
    <t>по адресу г. Радужный 2 мкр. дом 5</t>
  </si>
  <si>
    <t>3673,1 м2</t>
  </si>
  <si>
    <t>3351,8 м2</t>
  </si>
  <si>
    <t>896786,44 руб</t>
  </si>
  <si>
    <t>утепление чердачного перекрытия</t>
  </si>
  <si>
    <t>ремонт штукатурки вентканалов</t>
  </si>
  <si>
    <t>ремонт ступеней лестничного марша</t>
  </si>
  <si>
    <t xml:space="preserve">ремонт кровли входа техподполье </t>
  </si>
  <si>
    <t>ремонт швов цоколя</t>
  </si>
  <si>
    <t xml:space="preserve">                            </t>
  </si>
  <si>
    <t>по адресу г. Радужный 2 мкр. дом 6</t>
  </si>
  <si>
    <t>3567,9 м2</t>
  </si>
  <si>
    <t>1925,3 м2</t>
  </si>
  <si>
    <t>350,1 м2</t>
  </si>
  <si>
    <t>878869,03 руб.</t>
  </si>
  <si>
    <t>ремонт кровли балконных козырьков</t>
  </si>
  <si>
    <t>ремонт вентшахт</t>
  </si>
  <si>
    <t>ремонт примыкания  фановых стояков, вентшахт</t>
  </si>
  <si>
    <t>ремонт обналичка проемов</t>
  </si>
  <si>
    <t>ремонт ограждений лестничных маршей</t>
  </si>
  <si>
    <t>маслянная окраска домофонных дверей</t>
  </si>
  <si>
    <t>ремонт балконных  плит</t>
  </si>
  <si>
    <t>окраска наружных стен тамбуров</t>
  </si>
  <si>
    <t>установка опор для сушки белья, ковробыб.</t>
  </si>
  <si>
    <t>по адресу г. Радужный 2 мкр. дом 8</t>
  </si>
  <si>
    <t>3848,7 м2</t>
  </si>
  <si>
    <t>2482,7 м2</t>
  </si>
  <si>
    <t>122,9 м2</t>
  </si>
  <si>
    <t>1436164,61 руб.</t>
  </si>
  <si>
    <t>ремонт почтовых ящ.</t>
  </si>
  <si>
    <t>ремонт кровли входа техподполье</t>
  </si>
  <si>
    <t>ремонт дверей входов в тех.подполье</t>
  </si>
  <si>
    <t xml:space="preserve">очистка кровли от снега </t>
  </si>
  <si>
    <t>2</t>
  </si>
  <si>
    <t>10 ноября</t>
  </si>
  <si>
    <t>по адресу г. Радужный 2 мкр. дом 9</t>
  </si>
  <si>
    <t>3871,3 м2</t>
  </si>
  <si>
    <t>2502,4м2</t>
  </si>
  <si>
    <t>120 м2</t>
  </si>
  <si>
    <t>1452947,53 руб.</t>
  </si>
  <si>
    <t xml:space="preserve">ремонт кровли </t>
  </si>
  <si>
    <t xml:space="preserve">ремонт вентшахт </t>
  </si>
  <si>
    <t>4 раза</t>
  </si>
  <si>
    <t xml:space="preserve">замена дверей </t>
  </si>
  <si>
    <t>ремонт  трубы ливневой канализации</t>
  </si>
  <si>
    <t>2 июня</t>
  </si>
  <si>
    <t>по адресу г. Радужный 2 мкр. дом 10</t>
  </si>
  <si>
    <t>4418 м2</t>
  </si>
  <si>
    <t>3312,3 м2</t>
  </si>
  <si>
    <t>59,4 м2</t>
  </si>
  <si>
    <t>872496,70 руб.</t>
  </si>
  <si>
    <t>прочистка вытяжной вентиляции</t>
  </si>
  <si>
    <t>ремонт и утепление вентканалов</t>
  </si>
  <si>
    <t>утепление швов плит в перекрытии техподполья</t>
  </si>
  <si>
    <t>п.м</t>
  </si>
  <si>
    <t>очистка балконных козырьков от снега  сосулек</t>
  </si>
  <si>
    <t>по адресу г. Радужный 2 мкр. дом 11</t>
  </si>
  <si>
    <t>3660,4 м2</t>
  </si>
  <si>
    <t>3382,7 м2</t>
  </si>
  <si>
    <t>891681,09 руб.</t>
  </si>
  <si>
    <t>замена дверей на металлические</t>
  </si>
  <si>
    <t>ремонт контейнерных  площ.</t>
  </si>
  <si>
    <t>покраска крышек пожарных гидрантов</t>
  </si>
  <si>
    <t>по адресу г. Радужный 2 мкр. дом 13</t>
  </si>
  <si>
    <t>3537,7 м2</t>
  </si>
  <si>
    <t>2351,4 м2</t>
  </si>
  <si>
    <t>202,5 м2</t>
  </si>
  <si>
    <t>827696,40 руб.</t>
  </si>
  <si>
    <t>ремонт вытяжной вентиляции</t>
  </si>
  <si>
    <t xml:space="preserve">ремонт и утепление фановых стояков </t>
  </si>
  <si>
    <t>ремонт скамеек</t>
  </si>
  <si>
    <t>демонтаж МАФов непригодных к эксплуатации</t>
  </si>
  <si>
    <t>по адресу г. Радужный 2 мкр. дом 17</t>
  </si>
  <si>
    <t>3399 м2</t>
  </si>
  <si>
    <t>2016,9м2</t>
  </si>
  <si>
    <t>60 м2</t>
  </si>
  <si>
    <t>771074,94 руб.</t>
  </si>
  <si>
    <t>ремонт слуховых окон</t>
  </si>
  <si>
    <t xml:space="preserve">устранение трещин, </t>
  </si>
  <si>
    <t>по адресу г. Радужный 2 мкр. дом 20</t>
  </si>
  <si>
    <t>3490,1 м2</t>
  </si>
  <si>
    <t>1944,7м2</t>
  </si>
  <si>
    <t>881610,38 руб.</t>
  </si>
  <si>
    <t>установка скамеек</t>
  </si>
  <si>
    <t>по адресу г. Радужный 2 мкр. дом 22</t>
  </si>
  <si>
    <t>за 2009 год.</t>
  </si>
  <si>
    <t>3479,6 м2</t>
  </si>
  <si>
    <t>1998,2м2</t>
  </si>
  <si>
    <t>767338,26 руб.</t>
  </si>
  <si>
    <t>5 раз</t>
  </si>
  <si>
    <t>по адресу г. Радужный 2 мкр. дом 23</t>
  </si>
  <si>
    <t>10649,2 м2</t>
  </si>
  <si>
    <t>67772 м2</t>
  </si>
  <si>
    <t>1254,6 м2</t>
  </si>
  <si>
    <t>4141134,68 руб.</t>
  </si>
  <si>
    <t xml:space="preserve">ремонт фановых стояков </t>
  </si>
  <si>
    <t>установка  пружин</t>
  </si>
  <si>
    <t>замена рам с изготовлением</t>
  </si>
  <si>
    <t>ремонт обрамления лифтовых кабин</t>
  </si>
  <si>
    <t>устранение трещин, в т.ч.</t>
  </si>
  <si>
    <t>ремонт примыканий входа в техподполье</t>
  </si>
  <si>
    <t>очистка кровли от мусора</t>
  </si>
  <si>
    <t>8 декабря</t>
  </si>
  <si>
    <t>по адресу г. Радужный 2 мкр. дом 23а</t>
  </si>
  <si>
    <t>2214,5 м2</t>
  </si>
  <si>
    <t>1874,9 м2</t>
  </si>
  <si>
    <t>208,7 м2</t>
  </si>
  <si>
    <t>776389,12 руб.</t>
  </si>
  <si>
    <t>установка доводчика</t>
  </si>
  <si>
    <t>1</t>
  </si>
  <si>
    <t>8 декабря.</t>
  </si>
  <si>
    <t>по адресу г. Радужный 2 мкр. дом 24</t>
  </si>
  <si>
    <t>3516,2 м2</t>
  </si>
  <si>
    <t>1946,7м2</t>
  </si>
  <si>
    <t>886352,28 руб.</t>
  </si>
  <si>
    <t>бетонирование площадки под скамейку</t>
  </si>
  <si>
    <t>по адресу г. Радужный 2 мкр. дом 25</t>
  </si>
  <si>
    <t>12135,2 м2</t>
  </si>
  <si>
    <t>6783,2 м2</t>
  </si>
  <si>
    <t>2116,5 м2</t>
  </si>
  <si>
    <t>4168447,31 руб.</t>
  </si>
  <si>
    <t>ремонт подъездов</t>
  </si>
  <si>
    <t>установка почтовых ящиков</t>
  </si>
  <si>
    <t>12 мая.</t>
  </si>
  <si>
    <t>по адресу г. Радужный 2 мкр. дом 26</t>
  </si>
  <si>
    <t>3686,9 м2</t>
  </si>
  <si>
    <t>3358,5м2</t>
  </si>
  <si>
    <t>47,8 м2</t>
  </si>
  <si>
    <t>884648,96 руб.</t>
  </si>
  <si>
    <t xml:space="preserve">установка замков </t>
  </si>
  <si>
    <t>установка опор для сушки белья, ковровыб.</t>
  </si>
  <si>
    <t>очистка балконных козырьков от снега и сосулек</t>
  </si>
  <si>
    <t>по адресу г. Радужный 2 мкр. дом 30а</t>
  </si>
  <si>
    <t>1756,6 м2</t>
  </si>
  <si>
    <t>914,7 м2</t>
  </si>
  <si>
    <t>419531,47 руб.</t>
  </si>
  <si>
    <t xml:space="preserve"> </t>
  </si>
  <si>
    <t>ремонт примыкания фановых стояков и вентшахт</t>
  </si>
  <si>
    <t>остекление слуховых окон</t>
  </si>
  <si>
    <t>установка замков на шкафы слаботочек</t>
  </si>
  <si>
    <t>проверка огнезащитной обработки дерев. конструкций чердачного помещения</t>
  </si>
  <si>
    <t>по адресу г. Радужный 2 мкр. дом 33</t>
  </si>
  <si>
    <t>1072,1 м2</t>
  </si>
  <si>
    <t>504,4 м2</t>
  </si>
  <si>
    <t>148343,49 руб.</t>
  </si>
  <si>
    <t>ремонт шиферной кровли</t>
  </si>
  <si>
    <t>ремонт полов с заменой балок</t>
  </si>
  <si>
    <t>ремонт и утепление стен</t>
  </si>
  <si>
    <t>ремонт ступеней</t>
  </si>
  <si>
    <t>ремонт полов</t>
  </si>
  <si>
    <t>ремонт дверей в помещения узлов управления</t>
  </si>
  <si>
    <t>ремонт и утепление деревянного цоколя</t>
  </si>
  <si>
    <t>очистка кровли от сосулек</t>
  </si>
  <si>
    <t>ВРУ</t>
  </si>
  <si>
    <t xml:space="preserve">"Утверждаю" </t>
  </si>
  <si>
    <t xml:space="preserve">Генеральный директор </t>
  </si>
  <si>
    <t xml:space="preserve">Т.В. Коновалова </t>
  </si>
  <si>
    <t>по адресу г. Радужный 2 мкр. дом 34а</t>
  </si>
  <si>
    <t>387583,14 руб.</t>
  </si>
  <si>
    <t>Притягивание кровли саморезование</t>
  </si>
  <si>
    <t>Ремонт примыкания вентиляционных шахт</t>
  </si>
  <si>
    <t>по адресу г. Радужный 2 мкр. дом 35</t>
  </si>
  <si>
    <t>987,3 м2</t>
  </si>
  <si>
    <t>497м2</t>
  </si>
  <si>
    <t>78703,49 руб.</t>
  </si>
  <si>
    <t>ремонт примыкания фановых стояков, вентшахт</t>
  </si>
  <si>
    <t>пароизоляция чердачного. перекрытия</t>
  </si>
  <si>
    <t>изготовление и установка слуховых окон</t>
  </si>
  <si>
    <t>смена дверного полотна</t>
  </si>
  <si>
    <t>ремонт пола в У/у</t>
  </si>
  <si>
    <t>для посыпки</t>
  </si>
  <si>
    <t>по адресу г. Радужный 2 мкр. дом 37</t>
  </si>
  <si>
    <t>982,2 м2</t>
  </si>
  <si>
    <t>503,7м2</t>
  </si>
  <si>
    <t>132510,80 руб.</t>
  </si>
  <si>
    <t>ремонт дверей в помещения УУ</t>
  </si>
  <si>
    <t>ремонт и утепление (деревянного) цоколя</t>
  </si>
  <si>
    <t xml:space="preserve">ремонт перекрытия </t>
  </si>
  <si>
    <t>по адресу г. Радужный 2 мкр. дом 38</t>
  </si>
  <si>
    <t>980,8 м2</t>
  </si>
  <si>
    <t>506,5м2</t>
  </si>
  <si>
    <t>104994,49 руб.</t>
  </si>
  <si>
    <t>ремонт дверей в помещениях УУ</t>
  </si>
  <si>
    <t>закытие (остекление) проемов нежилых помещений</t>
  </si>
  <si>
    <t>по адресу г. Радужный 2 мкр. дом 39а</t>
  </si>
  <si>
    <t>1756,8 м2</t>
  </si>
  <si>
    <t>921,6м2</t>
  </si>
  <si>
    <t>420953,34 руб.</t>
  </si>
  <si>
    <t>по адресу г. Радужный 2 мкр. дом 40</t>
  </si>
  <si>
    <t>977,2 м2</t>
  </si>
  <si>
    <t>504,1м2</t>
  </si>
  <si>
    <t>151894,3 руб.</t>
  </si>
  <si>
    <t>ремонт перекрытий</t>
  </si>
  <si>
    <t>ремонт дверей входов в УУ</t>
  </si>
  <si>
    <t>по адресу г. Радужный 2 мкр. дом 41</t>
  </si>
  <si>
    <t>992,6 м2</t>
  </si>
  <si>
    <t>493,6м2</t>
  </si>
  <si>
    <t>125986,01 руб.</t>
  </si>
  <si>
    <t>ремонт примыканий  фановых стояков, вентшахт</t>
  </si>
  <si>
    <t xml:space="preserve">ремонт дверей входов в УУ </t>
  </si>
  <si>
    <t>по адресу г. Радужный 2 мкр. дом 43</t>
  </si>
  <si>
    <t>976,6 м2</t>
  </si>
  <si>
    <t>490м2</t>
  </si>
  <si>
    <t>148093,97 руб.</t>
  </si>
  <si>
    <t>по адресу г. Радужный 2 мкр. дом 45</t>
  </si>
  <si>
    <t>974,3 м2</t>
  </si>
  <si>
    <t>481м2</t>
  </si>
  <si>
    <t>134344,30 руб.</t>
  </si>
  <si>
    <t>ремонт примыканий фановых стояков и вентшахт</t>
  </si>
  <si>
    <t>ремонт стен</t>
  </si>
  <si>
    <t xml:space="preserve">ремонт дверей в помещения УУ </t>
  </si>
  <si>
    <t>по адресу г. Радужный 6 мкр. дом 1</t>
  </si>
  <si>
    <t>9860,4м2</t>
  </si>
  <si>
    <t>6209,5 м2</t>
  </si>
  <si>
    <t>3799304,54 руб.</t>
  </si>
  <si>
    <t>отсутствуют</t>
  </si>
  <si>
    <t>ремонт фановых стояков с заменой трубы</t>
  </si>
  <si>
    <t>штукатурка и ремонт конструкций наружных ж/б стен машинных отделений</t>
  </si>
  <si>
    <t>ремонт люка выхода на крышу МО</t>
  </si>
  <si>
    <t xml:space="preserve">Подъезды </t>
  </si>
  <si>
    <t>укрепление пружин</t>
  </si>
  <si>
    <t>замена дверного металлического блока</t>
  </si>
  <si>
    <t>ремонт оконных ограждений</t>
  </si>
  <si>
    <t>укрепление зашивок электроканалов</t>
  </si>
  <si>
    <t>установка почтовых ящиков(снятых)</t>
  </si>
  <si>
    <t>установка рам снятых (жильцами)</t>
  </si>
  <si>
    <t>ремонт порогов и кнопок вызова лифтов</t>
  </si>
  <si>
    <t>ремонт межпанел. швов.</t>
  </si>
  <si>
    <t>окраска шибера</t>
  </si>
  <si>
    <t>капитальный ремонт тамбура с переустановкой железобетонных деталей и плит</t>
  </si>
  <si>
    <t>ремонт бетонной плиты</t>
  </si>
  <si>
    <t>ремонт контейнеров</t>
  </si>
  <si>
    <t xml:space="preserve">установка информационных досок и досок объявления </t>
  </si>
  <si>
    <t>Прочистка вентиляционных каналов</t>
  </si>
  <si>
    <t>технический осмотр и обслуживание лифтов с типовым объемом работ</t>
  </si>
  <si>
    <t>лифт/ раз</t>
  </si>
  <si>
    <t>5 / 12</t>
  </si>
  <si>
    <t>5 / 1</t>
  </si>
  <si>
    <t>8 сентября</t>
  </si>
  <si>
    <t>по адресу г. Радужный 6 мкр. дом 2</t>
  </si>
  <si>
    <t>6161,5 м2</t>
  </si>
  <si>
    <t>3811,2м2</t>
  </si>
  <si>
    <t>60,5м2</t>
  </si>
  <si>
    <t>2288596,39 руб.</t>
  </si>
  <si>
    <t>ремонт плит перекрытия  вент. шахт</t>
  </si>
  <si>
    <t>замена фанового стояка</t>
  </si>
  <si>
    <t xml:space="preserve">укрепление пружин на дверях </t>
  </si>
  <si>
    <t>замена оконных рам</t>
  </si>
  <si>
    <t>установка почтовых ящиков (сорваных)</t>
  </si>
  <si>
    <t>установка рам (снятых жильцами)</t>
  </si>
  <si>
    <t>ремонт  бетонных полов</t>
  </si>
  <si>
    <t>ремонт шибера</t>
  </si>
  <si>
    <t xml:space="preserve">завоз торфа </t>
  </si>
  <si>
    <t>завоз песка на детскую площадку</t>
  </si>
  <si>
    <t>окраска малых архитектурных форм</t>
  </si>
  <si>
    <t xml:space="preserve">установка новых  скамеек </t>
  </si>
  <si>
    <t xml:space="preserve">6 раз </t>
  </si>
  <si>
    <t>3 / 12</t>
  </si>
  <si>
    <t>3 / 1</t>
  </si>
  <si>
    <t>22 декабря.</t>
  </si>
  <si>
    <t>по адресу г. Радужный 6 мкр. дом 3</t>
  </si>
  <si>
    <t>7741,3 м2</t>
  </si>
  <si>
    <t>3811,8 м2</t>
  </si>
  <si>
    <t>2005482,09 руб.</t>
  </si>
  <si>
    <t>ремонт металлической кровли</t>
  </si>
  <si>
    <t>ремонт кровли козырьков над балконами</t>
  </si>
  <si>
    <t>ремонт  и утепление фановых стояков</t>
  </si>
  <si>
    <t>штукатурка примыканий</t>
  </si>
  <si>
    <t>установка  аэратора</t>
  </si>
  <si>
    <t>окраска дверей(решеток)</t>
  </si>
  <si>
    <t>ремонт ограждений возле конт площ.</t>
  </si>
  <si>
    <t>установка МАФов</t>
  </si>
  <si>
    <t>по адресу г. Радужный 6 мкр. дом 4</t>
  </si>
  <si>
    <t>9453,4 м2</t>
  </si>
  <si>
    <t>5890,6 м2</t>
  </si>
  <si>
    <t>196,3м2</t>
  </si>
  <si>
    <t>3702543,05 руб.</t>
  </si>
  <si>
    <t>ремонт балконной плиты</t>
  </si>
  <si>
    <t xml:space="preserve">ремонт примыканий машинных отделений </t>
  </si>
  <si>
    <t xml:space="preserve">ремонт плиты перекрытия вентшахт </t>
  </si>
  <si>
    <t>штукатурка и ремонт конструкций наружных ж/б стен</t>
  </si>
  <si>
    <t>установка замков на люки входа в МО</t>
  </si>
  <si>
    <t>установка ушек на крышку люка</t>
  </si>
  <si>
    <t>установка сорваных  почтовых ящиков</t>
  </si>
  <si>
    <t>ремонт бетонной плиты (эл. Щитовая)</t>
  </si>
  <si>
    <t>завоз песка на посыпку тротуара</t>
  </si>
  <si>
    <t xml:space="preserve">5 </t>
  </si>
  <si>
    <t>5</t>
  </si>
  <si>
    <t>25 февраля.</t>
  </si>
  <si>
    <t>по адресу г. Радужный 6 мкр. дом 5</t>
  </si>
  <si>
    <t>10214,9 м2</t>
  </si>
  <si>
    <t>6164,3 м2</t>
  </si>
  <si>
    <t>109,4 м2</t>
  </si>
  <si>
    <t>37916556,94 руб.</t>
  </si>
  <si>
    <t>ремонт кирпичной кладки стен(предмаш. отдел.)</t>
  </si>
  <si>
    <t>ремонт фановых стояков и вентшахт (штукатурка)</t>
  </si>
  <si>
    <t xml:space="preserve">ремонт швов </t>
  </si>
  <si>
    <t>ремонт мусорокамер</t>
  </si>
  <si>
    <t>установка информационной доски</t>
  </si>
  <si>
    <t>27 января</t>
  </si>
  <si>
    <t>по адресу г. Радужный 6 мкр. дом 9</t>
  </si>
  <si>
    <t>6944,3 м2</t>
  </si>
  <si>
    <t>3952 м2</t>
  </si>
  <si>
    <t>2606528,34 руб.</t>
  </si>
  <si>
    <t>ремонт почтовых ящиков</t>
  </si>
  <si>
    <t>установка рам ( снятых жильцами)</t>
  </si>
  <si>
    <t>ремонт рам</t>
  </si>
  <si>
    <t xml:space="preserve">3 </t>
  </si>
  <si>
    <t>7 октября</t>
  </si>
  <si>
    <t>по адресу г. Радужный 6 мкр. дом 10</t>
  </si>
  <si>
    <t>9529 м2</t>
  </si>
  <si>
    <t>5377,7 м2</t>
  </si>
  <si>
    <t>52м2</t>
  </si>
  <si>
    <t>3551640,45 руб.</t>
  </si>
  <si>
    <t>ремонт примыканий</t>
  </si>
  <si>
    <t>окраска дверей</t>
  </si>
  <si>
    <t>ремонт примыканий стен</t>
  </si>
  <si>
    <t>завоз песка на детсую площадку</t>
  </si>
  <si>
    <t>4</t>
  </si>
  <si>
    <t>18 августа</t>
  </si>
  <si>
    <t>по адресу г. Радужный 6 мкр. дом 11</t>
  </si>
  <si>
    <t>7430,4 м2</t>
  </si>
  <si>
    <t>3304,1 м2</t>
  </si>
  <si>
    <t>2080463,65 руб.</t>
  </si>
  <si>
    <t>ремонт примыканий по периметру</t>
  </si>
  <si>
    <t>ремонт люка выхода в чердачное помещение</t>
  </si>
  <si>
    <t>ремонт дверей в том числе:</t>
  </si>
  <si>
    <t>по адресу г. Радужный 6 мкр. дом 12</t>
  </si>
  <si>
    <t>16559,1 м2</t>
  </si>
  <si>
    <t>9295,6 м2</t>
  </si>
  <si>
    <t>264,4 м2</t>
  </si>
  <si>
    <t>5425762,9 руб.</t>
  </si>
  <si>
    <t>ремонт  кровли</t>
  </si>
  <si>
    <t>ремонт балконных козырьков</t>
  </si>
  <si>
    <t>утепление  оконных рам</t>
  </si>
  <si>
    <t>монтаж пешеходных дорожек</t>
  </si>
  <si>
    <t>8 раз</t>
  </si>
  <si>
    <t>7</t>
  </si>
  <si>
    <t>24 марта.</t>
  </si>
  <si>
    <t>по адресу г. Радужный 6 мкр. дом 13</t>
  </si>
  <si>
    <t>3236,6 м2</t>
  </si>
  <si>
    <t>19315 м2</t>
  </si>
  <si>
    <t>172,2 м2</t>
  </si>
  <si>
    <t>857756,67 руб.</t>
  </si>
  <si>
    <t>установка почтовых ящиков(снятых жильцами)</t>
  </si>
  <si>
    <t>ремонт наружных стен</t>
  </si>
  <si>
    <t>на детской площадке</t>
  </si>
  <si>
    <t>установка скамеек (новые)</t>
  </si>
  <si>
    <t>по адресу г. Радужный 6 мкр. дом 14</t>
  </si>
  <si>
    <t>3469,9 м2</t>
  </si>
  <si>
    <t>1567 м2</t>
  </si>
  <si>
    <t>38,4 м2</t>
  </si>
  <si>
    <t>970931,78 руб.</t>
  </si>
  <si>
    <t>ремонт  примыканий по периметру</t>
  </si>
  <si>
    <t xml:space="preserve">ремонт люка выхода на крышу </t>
  </si>
  <si>
    <t>по адресу г. Радужный 6 мкр. дом 15</t>
  </si>
  <si>
    <t>4097м2</t>
  </si>
  <si>
    <t>1585,6 м2</t>
  </si>
  <si>
    <t>999877,74 руб.</t>
  </si>
  <si>
    <t xml:space="preserve">ремонт фановых стояков и вентшахт </t>
  </si>
  <si>
    <t>установка информацинных досок</t>
  </si>
  <si>
    <t>по адресу г. Радужный 6 мкр. дом 16</t>
  </si>
  <si>
    <t>13603 м2</t>
  </si>
  <si>
    <t>7930,2 м2</t>
  </si>
  <si>
    <t>9м2</t>
  </si>
  <si>
    <t>5235393,66 руб.</t>
  </si>
  <si>
    <t>изготовление съезда для инвал. коляски</t>
  </si>
  <si>
    <t>окрашивание цоколя</t>
  </si>
  <si>
    <t>13 января</t>
  </si>
  <si>
    <t>по адресу г. Радужный 6 мкр. дом 18</t>
  </si>
  <si>
    <t>10626 м2</t>
  </si>
  <si>
    <t>6790,5 м2</t>
  </si>
  <si>
    <t>1950,2 м2</t>
  </si>
  <si>
    <t>4178348,49 руб.</t>
  </si>
  <si>
    <t>ремонт обрамления лифтовых кабинок</t>
  </si>
  <si>
    <t>ремонт швов</t>
  </si>
  <si>
    <t>продление  трубы ливневой канализации</t>
  </si>
  <si>
    <t xml:space="preserve">окраска вазонов </t>
  </si>
  <si>
    <t>10 раз</t>
  </si>
  <si>
    <t>информационная доска установка</t>
  </si>
  <si>
    <t xml:space="preserve">очистка кровли от мусора </t>
  </si>
  <si>
    <t>14 июля</t>
  </si>
  <si>
    <t>по адресу г. Радужный 6 мкр. дом 19</t>
  </si>
  <si>
    <t>4473,5 м2</t>
  </si>
  <si>
    <t>2800,3 м2</t>
  </si>
  <si>
    <t>238,9 м2</t>
  </si>
  <si>
    <t>1177946,00 руб.</t>
  </si>
  <si>
    <t>изгот-ние и установка скамеек</t>
  </si>
  <si>
    <t>по адресу г. Радужный 6 мкр. дом 20</t>
  </si>
  <si>
    <t>9763,1 м2</t>
  </si>
  <si>
    <t>6270,6 м2</t>
  </si>
  <si>
    <t>469,9 м2</t>
  </si>
  <si>
    <t>3585289,22 руб.</t>
  </si>
  <si>
    <t>ремонт люка выхода на кровлю</t>
  </si>
  <si>
    <t>Ремонт подъезда</t>
  </si>
  <si>
    <t>ремонт сопряжения наружных  и внутренних стен</t>
  </si>
  <si>
    <t>ремонт (наращивание)трубы ливневой канализации</t>
  </si>
  <si>
    <t>изгот-ние и установак скамеек</t>
  </si>
  <si>
    <t>7 раз</t>
  </si>
  <si>
    <t>ремонт ливневой канализации</t>
  </si>
  <si>
    <t>м</t>
  </si>
  <si>
    <t>21 апреля</t>
  </si>
  <si>
    <t>3394,8 м2</t>
  </si>
  <si>
    <t>1744,9 м2</t>
  </si>
  <si>
    <t>1032465,5 руб.</t>
  </si>
  <si>
    <t>ремонт обшивки  наружных стен</t>
  </si>
  <si>
    <t>по адресу г. Радужный 6 мкр. дом 25</t>
  </si>
  <si>
    <t>1647,3 м2</t>
  </si>
  <si>
    <t>1027520,28 руб.</t>
  </si>
  <si>
    <t>ремонт дверей (установка ушек)</t>
  </si>
  <si>
    <t>установка досок объявлений</t>
  </si>
  <si>
    <t>по адресу г. Радужный 6 мкр. дом 26</t>
  </si>
  <si>
    <t>5374,8 м2</t>
  </si>
  <si>
    <t>2405,8 м2</t>
  </si>
  <si>
    <t>60,5 м2</t>
  </si>
  <si>
    <t>1481663,8 руб.</t>
  </si>
  <si>
    <t>масляная окраска домофонных дверей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</si>
</sst>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%"/>
    <numFmt numFmtId="166" formatCode="0"/>
    <numFmt numFmtId="167" formatCode="0%"/>
    <numFmt numFmtId="168" formatCode="@"/>
    <numFmt numFmtId="169" formatCode="0.00%"/>
    <numFmt numFmtId="170" formatCode="0.00"/>
    <numFmt numFmtId="171" formatCode="DD/MMM"/>
    <numFmt numFmtId="172" formatCode="0.0"/>
  </numFmts>
  <fonts count="2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0"/>
      <color indexed="10"/>
      <name val="Arial Cyr"/>
      <family val="2"/>
    </font>
    <font>
      <sz val="9.5"/>
      <name val="Times New Roman"/>
      <family val="1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1"/>
      <name val="Times New Roman"/>
      <family val="1"/>
    </font>
    <font>
      <b/>
      <sz val="10"/>
      <color indexed="10"/>
      <name val="Arial Cyr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8"/>
      <name val="Times New Roman"/>
      <family val="1"/>
    </font>
    <font>
      <sz val="10"/>
      <color indexed="8"/>
      <name val="Times New Roman Cyr"/>
      <family val="1"/>
    </font>
    <font>
      <sz val="9.5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color indexed="8"/>
      <name val="Arial Cyr"/>
      <family val="2"/>
    </font>
    <font>
      <sz val="9"/>
      <name val="Times New Roman"/>
      <family val="1"/>
    </font>
    <font>
      <sz val="8"/>
      <name val="Arial Cyr"/>
      <family val="2"/>
    </font>
    <font>
      <i/>
      <sz val="10"/>
      <name val="Times New Roman Cyr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top" wrapText="1"/>
    </xf>
    <xf numFmtId="164" fontId="0" fillId="0" borderId="3" xfId="0" applyBorder="1" applyAlignment="1">
      <alignment/>
    </xf>
    <xf numFmtId="164" fontId="8" fillId="0" borderId="4" xfId="0" applyFont="1" applyBorder="1" applyAlignment="1">
      <alignment horizontal="center" vertical="top" wrapText="1"/>
    </xf>
    <xf numFmtId="164" fontId="0" fillId="0" borderId="5" xfId="0" applyBorder="1" applyAlignment="1">
      <alignment/>
    </xf>
    <xf numFmtId="164" fontId="9" fillId="0" borderId="6" xfId="0" applyFont="1" applyBorder="1" applyAlignment="1">
      <alignment horizontal="center" vertical="top" wrapText="1"/>
    </xf>
    <xf numFmtId="164" fontId="0" fillId="0" borderId="7" xfId="0" applyBorder="1" applyAlignment="1">
      <alignment/>
    </xf>
    <xf numFmtId="167" fontId="5" fillId="0" borderId="1" xfId="0" applyNumberFormat="1" applyFont="1" applyBorder="1" applyAlignment="1">
      <alignment horizontal="center" vertical="center" wrapText="1"/>
    </xf>
    <xf numFmtId="164" fontId="5" fillId="0" borderId="8" xfId="0" applyFont="1" applyBorder="1" applyAlignment="1">
      <alignment vertical="top" wrapText="1"/>
    </xf>
    <xf numFmtId="167" fontId="5" fillId="0" borderId="8" xfId="0" applyNumberFormat="1" applyFont="1" applyBorder="1" applyAlignment="1">
      <alignment horizontal="center" vertical="center" wrapText="1"/>
    </xf>
    <xf numFmtId="164" fontId="5" fillId="0" borderId="9" xfId="0" applyFont="1" applyFill="1" applyBorder="1" applyAlignment="1">
      <alignment vertical="top" wrapText="1"/>
    </xf>
    <xf numFmtId="164" fontId="8" fillId="0" borderId="10" xfId="0" applyFont="1" applyBorder="1" applyAlignment="1">
      <alignment horizontal="center" vertical="top" wrapText="1"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7" fontId="5" fillId="0" borderId="1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10" fillId="3" borderId="1" xfId="0" applyFont="1" applyFill="1" applyBorder="1" applyAlignment="1">
      <alignment wrapText="1"/>
    </xf>
    <xf numFmtId="164" fontId="11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11" fillId="0" borderId="1" xfId="0" applyFont="1" applyBorder="1" applyAlignment="1">
      <alignment wrapText="1"/>
    </xf>
    <xf numFmtId="164" fontId="11" fillId="0" borderId="1" xfId="0" applyFont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left"/>
    </xf>
    <xf numFmtId="164" fontId="11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/>
    </xf>
    <xf numFmtId="164" fontId="0" fillId="3" borderId="1" xfId="0" applyFill="1" applyBorder="1" applyAlignment="1">
      <alignment horizontal="left"/>
    </xf>
    <xf numFmtId="164" fontId="11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left"/>
    </xf>
    <xf numFmtId="164" fontId="11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/>
    </xf>
    <xf numFmtId="164" fontId="10" fillId="3" borderId="1" xfId="0" applyFont="1" applyFill="1" applyBorder="1" applyAlignment="1">
      <alignment horizontal="center"/>
    </xf>
    <xf numFmtId="164" fontId="11" fillId="0" borderId="1" xfId="0" applyFont="1" applyBorder="1" applyAlignment="1">
      <alignment/>
    </xf>
    <xf numFmtId="164" fontId="11" fillId="2" borderId="1" xfId="0" applyFont="1" applyFill="1" applyBorder="1" applyAlignment="1">
      <alignment/>
    </xf>
    <xf numFmtId="164" fontId="11" fillId="2" borderId="1" xfId="0" applyFont="1" applyFill="1" applyBorder="1" applyAlignment="1">
      <alignment horizontal="right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4" fontId="11" fillId="0" borderId="1" xfId="0" applyFont="1" applyFill="1" applyBorder="1" applyAlignment="1">
      <alignment horizontal="left"/>
    </xf>
    <xf numFmtId="164" fontId="9" fillId="0" borderId="1" xfId="0" applyFont="1" applyFill="1" applyBorder="1" applyAlignment="1">
      <alignment horizontal="center"/>
    </xf>
    <xf numFmtId="164" fontId="11" fillId="0" borderId="1" xfId="0" applyFont="1" applyBorder="1" applyAlignment="1">
      <alignment horizontal="left" vertical="center" wrapText="1"/>
    </xf>
    <xf numFmtId="164" fontId="0" fillId="3" borderId="1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11" fillId="3" borderId="1" xfId="0" applyFont="1" applyFill="1" applyBorder="1" applyAlignment="1">
      <alignment horizontal="left"/>
    </xf>
    <xf numFmtId="164" fontId="9" fillId="3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11" fillId="3" borderId="1" xfId="0" applyFont="1" applyFill="1" applyBorder="1" applyAlignment="1">
      <alignment horizontal="left" vertical="center"/>
    </xf>
    <xf numFmtId="168" fontId="9" fillId="0" borderId="1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9" fillId="0" borderId="1" xfId="0" applyFont="1" applyFill="1" applyBorder="1" applyAlignment="1">
      <alignment horizontal="left"/>
    </xf>
    <xf numFmtId="164" fontId="9" fillId="0" borderId="1" xfId="0" applyFont="1" applyFill="1" applyBorder="1" applyAlignment="1">
      <alignment vertical="center" wrapText="1"/>
    </xf>
    <xf numFmtId="164" fontId="2" fillId="0" borderId="0" xfId="0" applyFont="1" applyFill="1" applyAlignment="1">
      <alignment/>
    </xf>
    <xf numFmtId="169" fontId="2" fillId="0" borderId="0" xfId="0" applyNumberFormat="1" applyFont="1" applyAlignment="1">
      <alignment horizontal="left"/>
    </xf>
    <xf numFmtId="170" fontId="0" fillId="0" borderId="0" xfId="0" applyNumberFormat="1" applyFont="1" applyAlignment="1">
      <alignment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top" wrapText="1"/>
    </xf>
    <xf numFmtId="164" fontId="8" fillId="0" borderId="8" xfId="0" applyFont="1" applyBorder="1" applyAlignment="1">
      <alignment horizontal="center" vertical="top" wrapText="1"/>
    </xf>
    <xf numFmtId="164" fontId="0" fillId="0" borderId="2" xfId="0" applyFont="1" applyBorder="1" applyAlignment="1">
      <alignment/>
    </xf>
    <xf numFmtId="164" fontId="0" fillId="0" borderId="8" xfId="0" applyBorder="1" applyAlignment="1">
      <alignment/>
    </xf>
    <xf numFmtId="164" fontId="9" fillId="0" borderId="1" xfId="0" applyFont="1" applyFill="1" applyBorder="1" applyAlignment="1">
      <alignment horizontal="left"/>
    </xf>
    <xf numFmtId="164" fontId="11" fillId="0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/>
    </xf>
    <xf numFmtId="164" fontId="0" fillId="0" borderId="1" xfId="0" applyFont="1" applyBorder="1" applyAlignment="1">
      <alignment horizontal="left"/>
    </xf>
    <xf numFmtId="164" fontId="11" fillId="3" borderId="1" xfId="0" applyFont="1" applyFill="1" applyBorder="1" applyAlignment="1">
      <alignment/>
    </xf>
    <xf numFmtId="164" fontId="15" fillId="0" borderId="0" xfId="0" applyFont="1" applyAlignment="1">
      <alignment/>
    </xf>
    <xf numFmtId="164" fontId="11" fillId="2" borderId="1" xfId="0" applyFont="1" applyFill="1" applyBorder="1" applyAlignment="1">
      <alignment horizontal="center"/>
    </xf>
    <xf numFmtId="171" fontId="9" fillId="0" borderId="1" xfId="0" applyNumberFormat="1" applyFont="1" applyBorder="1" applyAlignment="1">
      <alignment horizontal="left"/>
    </xf>
    <xf numFmtId="164" fontId="5" fillId="0" borderId="1" xfId="0" applyFont="1" applyFill="1" applyBorder="1" applyAlignment="1">
      <alignment vertical="top" wrapText="1"/>
    </xf>
    <xf numFmtId="164" fontId="11" fillId="0" borderId="1" xfId="0" applyFont="1" applyFill="1" applyBorder="1" applyAlignment="1">
      <alignment horizontal="left" wrapText="1"/>
    </xf>
    <xf numFmtId="164" fontId="11" fillId="2" borderId="1" xfId="0" applyFont="1" applyFill="1" applyBorder="1" applyAlignment="1">
      <alignment wrapText="1"/>
    </xf>
    <xf numFmtId="164" fontId="9" fillId="0" borderId="1" xfId="0" applyFont="1" applyBorder="1" applyAlignment="1">
      <alignment horizontal="left" vertical="center" wrapText="1"/>
    </xf>
    <xf numFmtId="164" fontId="0" fillId="0" borderId="0" xfId="0" applyFont="1" applyFill="1" applyBorder="1" applyAlignment="1">
      <alignment/>
    </xf>
    <xf numFmtId="164" fontId="9" fillId="0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5" fillId="0" borderId="8" xfId="0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ill="1" applyBorder="1" applyAlignment="1">
      <alignment horizontal="left"/>
    </xf>
    <xf numFmtId="164" fontId="0" fillId="0" borderId="0" xfId="0" applyFill="1" applyAlignment="1">
      <alignment/>
    </xf>
    <xf numFmtId="165" fontId="2" fillId="0" borderId="0" xfId="0" applyNumberFormat="1" applyFont="1" applyAlignment="1">
      <alignment/>
    </xf>
    <xf numFmtId="164" fontId="9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3" borderId="1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9" fillId="0" borderId="1" xfId="0" applyFont="1" applyBorder="1" applyAlignment="1">
      <alignment vertical="center" wrapText="1"/>
    </xf>
    <xf numFmtId="164" fontId="9" fillId="0" borderId="1" xfId="0" applyFont="1" applyBorder="1" applyAlignment="1">
      <alignment/>
    </xf>
    <xf numFmtId="164" fontId="0" fillId="0" borderId="0" xfId="0" applyFont="1" applyFill="1" applyBorder="1" applyAlignment="1">
      <alignment horizontal="center"/>
    </xf>
    <xf numFmtId="167" fontId="2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4" fontId="0" fillId="0" borderId="8" xfId="0" applyFont="1" applyFill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 wrapText="1"/>
    </xf>
    <xf numFmtId="164" fontId="5" fillId="0" borderId="8" xfId="0" applyFont="1" applyBorder="1" applyAlignment="1">
      <alignment vertical="center" wrapText="1"/>
    </xf>
    <xf numFmtId="164" fontId="5" fillId="0" borderId="14" xfId="0" applyFont="1" applyBorder="1" applyAlignment="1">
      <alignment vertical="top" wrapText="1"/>
    </xf>
    <xf numFmtId="167" fontId="5" fillId="0" borderId="14" xfId="0" applyNumberFormat="1" applyFont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3" borderId="1" xfId="0" applyFont="1" applyFill="1" applyBorder="1" applyAlignment="1">
      <alignment horizontal="left"/>
    </xf>
    <xf numFmtId="164" fontId="11" fillId="3" borderId="1" xfId="0" applyFont="1" applyFill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11" fillId="0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left" vertical="top" wrapText="1"/>
    </xf>
    <xf numFmtId="164" fontId="0" fillId="0" borderId="14" xfId="0" applyFont="1" applyBorder="1" applyAlignment="1">
      <alignment horizontal="center" vertical="center"/>
    </xf>
    <xf numFmtId="164" fontId="5" fillId="0" borderId="14" xfId="0" applyFont="1" applyBorder="1" applyAlignment="1">
      <alignment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4" fontId="18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left" vertical="top" wrapText="1"/>
    </xf>
    <xf numFmtId="164" fontId="11" fillId="0" borderId="1" xfId="0" applyFont="1" applyFill="1" applyBorder="1" applyAlignment="1">
      <alignment vertical="center" wrapText="1"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/>
    </xf>
    <xf numFmtId="164" fontId="0" fillId="0" borderId="1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10" fillId="3" borderId="14" xfId="0" applyFont="1" applyFill="1" applyBorder="1" applyAlignment="1">
      <alignment wrapText="1"/>
    </xf>
    <xf numFmtId="164" fontId="11" fillId="3" borderId="14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center"/>
    </xf>
    <xf numFmtId="164" fontId="0" fillId="3" borderId="14" xfId="0" applyFill="1" applyBorder="1" applyAlignment="1">
      <alignment horizontal="left"/>
    </xf>
    <xf numFmtId="164" fontId="0" fillId="0" borderId="15" xfId="0" applyFont="1" applyBorder="1" applyAlignment="1">
      <alignment/>
    </xf>
    <xf numFmtId="164" fontId="0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horizontal="center" vertical="top" wrapText="1"/>
    </xf>
    <xf numFmtId="164" fontId="0" fillId="0" borderId="0" xfId="0" applyFont="1" applyAlignment="1">
      <alignment horizontal="left"/>
    </xf>
    <xf numFmtId="164" fontId="2" fillId="0" borderId="0" xfId="0" applyFont="1" applyFill="1" applyAlignment="1">
      <alignment vertical="center"/>
    </xf>
    <xf numFmtId="164" fontId="11" fillId="0" borderId="14" xfId="0" applyFont="1" applyFill="1" applyBorder="1" applyAlignment="1">
      <alignment/>
    </xf>
    <xf numFmtId="164" fontId="11" fillId="0" borderId="14" xfId="0" applyFont="1" applyFill="1" applyBorder="1" applyAlignment="1">
      <alignment horizontal="center"/>
    </xf>
    <xf numFmtId="164" fontId="9" fillId="0" borderId="14" xfId="0" applyFont="1" applyFill="1" applyBorder="1" applyAlignment="1">
      <alignment horizontal="left"/>
    </xf>
    <xf numFmtId="164" fontId="4" fillId="3" borderId="1" xfId="0" applyFont="1" applyFill="1" applyBorder="1" applyAlignment="1">
      <alignment/>
    </xf>
    <xf numFmtId="164" fontId="0" fillId="0" borderId="3" xfId="0" applyBorder="1" applyAlignment="1">
      <alignment horizontal="left"/>
    </xf>
    <xf numFmtId="164" fontId="0" fillId="0" borderId="12" xfId="0" applyBorder="1" applyAlignment="1">
      <alignment horizontal="left"/>
    </xf>
    <xf numFmtId="164" fontId="0" fillId="0" borderId="1" xfId="0" applyFont="1" applyBorder="1" applyAlignment="1">
      <alignment/>
    </xf>
    <xf numFmtId="164" fontId="9" fillId="0" borderId="14" xfId="0" applyFont="1" applyBorder="1" applyAlignment="1">
      <alignment/>
    </xf>
    <xf numFmtId="166" fontId="9" fillId="0" borderId="14" xfId="0" applyNumberFormat="1" applyFont="1" applyBorder="1" applyAlignment="1">
      <alignment horizontal="center"/>
    </xf>
    <xf numFmtId="164" fontId="19" fillId="0" borderId="1" xfId="0" applyFont="1" applyFill="1" applyBorder="1" applyAlignment="1">
      <alignment horizontal="center"/>
    </xf>
    <xf numFmtId="164" fontId="19" fillId="0" borderId="1" xfId="0" applyFont="1" applyBorder="1" applyAlignment="1">
      <alignment horizontal="center"/>
    </xf>
    <xf numFmtId="166" fontId="20" fillId="0" borderId="1" xfId="0" applyNumberFormat="1" applyFont="1" applyBorder="1" applyAlignment="1">
      <alignment horizontal="center" vertical="center" wrapText="1"/>
    </xf>
    <xf numFmtId="164" fontId="21" fillId="3" borderId="1" xfId="0" applyFont="1" applyFill="1" applyBorder="1" applyAlignment="1">
      <alignment wrapText="1"/>
    </xf>
    <xf numFmtId="164" fontId="19" fillId="3" borderId="1" xfId="0" applyFont="1" applyFill="1" applyBorder="1" applyAlignment="1">
      <alignment horizontal="center"/>
    </xf>
    <xf numFmtId="164" fontId="22" fillId="3" borderId="1" xfId="0" applyFont="1" applyFill="1" applyBorder="1" applyAlignment="1">
      <alignment horizontal="left"/>
    </xf>
    <xf numFmtId="164" fontId="21" fillId="3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11" fillId="0" borderId="1" xfId="0" applyFont="1" applyBorder="1" applyAlignment="1">
      <alignment vertical="center" wrapText="1"/>
    </xf>
    <xf numFmtId="164" fontId="14" fillId="0" borderId="0" xfId="0" applyFont="1" applyFill="1" applyBorder="1" applyAlignment="1">
      <alignment vertical="center" wrapText="1"/>
    </xf>
    <xf numFmtId="164" fontId="2" fillId="0" borderId="0" xfId="0" applyFont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 wrapText="1"/>
    </xf>
    <xf numFmtId="164" fontId="0" fillId="0" borderId="13" xfId="0" applyBorder="1" applyAlignment="1">
      <alignment horizontal="center"/>
    </xf>
    <xf numFmtId="164" fontId="9" fillId="0" borderId="1" xfId="0" applyFont="1" applyBorder="1" applyAlignment="1">
      <alignment wrapText="1"/>
    </xf>
    <xf numFmtId="164" fontId="8" fillId="0" borderId="11" xfId="0" applyFont="1" applyBorder="1" applyAlignment="1">
      <alignment horizontal="center" vertical="top" wrapText="1"/>
    </xf>
    <xf numFmtId="164" fontId="0" fillId="0" borderId="11" xfId="0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4" fontId="23" fillId="0" borderId="1" xfId="0" applyFont="1" applyFill="1" applyBorder="1" applyAlignment="1">
      <alignment horizontal="left" wrapText="1"/>
    </xf>
    <xf numFmtId="164" fontId="24" fillId="0" borderId="0" xfId="0" applyFont="1" applyBorder="1" applyAlignment="1">
      <alignment/>
    </xf>
    <xf numFmtId="164" fontId="25" fillId="0" borderId="1" xfId="0" applyFont="1" applyFill="1" applyBorder="1" applyAlignment="1">
      <alignment wrapText="1"/>
    </xf>
    <xf numFmtId="164" fontId="9" fillId="0" borderId="0" xfId="0" applyFont="1" applyBorder="1" applyAlignment="1">
      <alignment/>
    </xf>
    <xf numFmtId="164" fontId="10" fillId="3" borderId="10" xfId="0" applyFont="1" applyFill="1" applyBorder="1" applyAlignment="1">
      <alignment/>
    </xf>
    <xf numFmtId="164" fontId="0" fillId="3" borderId="11" xfId="0" applyFill="1" applyBorder="1" applyAlignment="1">
      <alignment/>
    </xf>
    <xf numFmtId="164" fontId="0" fillId="3" borderId="11" xfId="0" applyFill="1" applyBorder="1" applyAlignment="1">
      <alignment horizontal="center"/>
    </xf>
    <xf numFmtId="164" fontId="11" fillId="3" borderId="12" xfId="0" applyFont="1" applyFill="1" applyBorder="1" applyAlignment="1">
      <alignment horizontal="left"/>
    </xf>
    <xf numFmtId="168" fontId="9" fillId="0" borderId="10" xfId="0" applyNumberFormat="1" applyFont="1" applyBorder="1" applyAlignment="1">
      <alignment horizontal="center"/>
    </xf>
    <xf numFmtId="164" fontId="23" fillId="0" borderId="1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0" fillId="0" borderId="13" xfId="0" applyBorder="1" applyAlignment="1">
      <alignment/>
    </xf>
    <xf numFmtId="172" fontId="9" fillId="0" borderId="1" xfId="0" applyNumberFormat="1" applyFont="1" applyBorder="1" applyAlignment="1">
      <alignment horizontal="center"/>
    </xf>
    <xf numFmtId="164" fontId="0" fillId="0" borderId="14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/>
    </xf>
    <xf numFmtId="172" fontId="9" fillId="0" borderId="14" xfId="0" applyNumberFormat="1" applyFont="1" applyBorder="1" applyAlignment="1">
      <alignment horizontal="center"/>
    </xf>
    <xf numFmtId="164" fontId="9" fillId="0" borderId="8" xfId="0" applyFont="1" applyBorder="1" applyAlignment="1">
      <alignment/>
    </xf>
    <xf numFmtId="166" fontId="9" fillId="0" borderId="8" xfId="0" applyNumberFormat="1" applyFont="1" applyBorder="1" applyAlignment="1">
      <alignment horizontal="center"/>
    </xf>
    <xf numFmtId="172" fontId="9" fillId="0" borderId="8" xfId="0" applyNumberFormat="1" applyFont="1" applyBorder="1" applyAlignment="1">
      <alignment horizontal="center"/>
    </xf>
    <xf numFmtId="164" fontId="8" fillId="0" borderId="2" xfId="0" applyFont="1" applyFill="1" applyBorder="1" applyAlignment="1">
      <alignment horizontal="center" vertical="top" wrapText="1"/>
    </xf>
    <xf numFmtId="164" fontId="0" fillId="0" borderId="3" xfId="0" applyFill="1" applyBorder="1" applyAlignment="1">
      <alignment/>
    </xf>
    <xf numFmtId="164" fontId="8" fillId="0" borderId="4" xfId="0" applyFont="1" applyFill="1" applyBorder="1" applyAlignment="1">
      <alignment horizontal="center" vertical="top" wrapText="1"/>
    </xf>
    <xf numFmtId="164" fontId="0" fillId="0" borderId="5" xfId="0" applyFill="1" applyBorder="1" applyAlignment="1">
      <alignment/>
    </xf>
    <xf numFmtId="164" fontId="9" fillId="0" borderId="6" xfId="0" applyFont="1" applyFill="1" applyBorder="1" applyAlignment="1">
      <alignment horizontal="center" vertical="top" wrapText="1"/>
    </xf>
    <xf numFmtId="164" fontId="0" fillId="0" borderId="7" xfId="0" applyFill="1" applyBorder="1" applyAlignment="1">
      <alignment/>
    </xf>
    <xf numFmtId="164" fontId="3" fillId="0" borderId="0" xfId="0" applyFont="1" applyAlignment="1">
      <alignment horizontal="center" vertical="center"/>
    </xf>
    <xf numFmtId="164" fontId="4" fillId="0" borderId="0" xfId="0" applyFont="1" applyFill="1" applyAlignment="1">
      <alignment/>
    </xf>
    <xf numFmtId="164" fontId="0" fillId="0" borderId="0" xfId="0" applyFont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2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3.v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4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5.v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6.v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7.v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8.v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9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133"/>
  <sheetViews>
    <sheetView workbookViewId="0" topLeftCell="A110">
      <selection activeCell="B151" sqref="B151"/>
    </sheetView>
  </sheetViews>
  <sheetFormatPr defaultColWidth="9.00390625" defaultRowHeight="12.75"/>
  <cols>
    <col min="1" max="1" width="51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6</v>
      </c>
    </row>
    <row r="8" spans="1:3" ht="12.75">
      <c r="A8" s="1" t="s">
        <v>7</v>
      </c>
      <c r="C8" s="4" t="s">
        <v>8</v>
      </c>
    </row>
    <row r="9" spans="1:4" ht="12.75">
      <c r="A9" s="1" t="s">
        <v>9</v>
      </c>
      <c r="C9" s="5" t="s">
        <v>10</v>
      </c>
      <c r="D9" s="6"/>
    </row>
    <row r="10" ht="12.75">
      <c r="C10" s="7"/>
    </row>
    <row r="11" spans="1:3" ht="12.75">
      <c r="A11" s="1" t="s">
        <v>11</v>
      </c>
      <c r="C11" s="7" t="s">
        <v>12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4" ht="12.75">
      <c r="A18" s="1" t="s">
        <v>23</v>
      </c>
      <c r="B18" s="1" t="s">
        <v>24</v>
      </c>
      <c r="C18" s="7"/>
      <c r="D18" s="8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s="1" t="s">
        <v>32</v>
      </c>
      <c r="C24" s="9">
        <v>0.9</v>
      </c>
    </row>
    <row r="25" ht="12.75">
      <c r="C25" s="9"/>
    </row>
    <row r="26" spans="1:3" ht="25.5" customHeight="1">
      <c r="A26" s="10" t="s">
        <v>33</v>
      </c>
      <c r="B26" s="10"/>
      <c r="C26" s="10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12.75">
      <c r="A29" s="13" t="s">
        <v>38</v>
      </c>
      <c r="B29" s="14" t="s">
        <v>39</v>
      </c>
      <c r="C29" s="15">
        <v>921.4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921.4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4250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88</v>
      </c>
      <c r="D32" s="16" t="s">
        <v>46</v>
      </c>
    </row>
    <row r="33" spans="1:4" ht="12.75">
      <c r="A33" s="13" t="s">
        <v>47</v>
      </c>
      <c r="B33" s="17" t="s">
        <v>39</v>
      </c>
      <c r="C33" s="15">
        <v>263</v>
      </c>
      <c r="D33" s="16" t="s">
        <v>48</v>
      </c>
    </row>
    <row r="34" spans="1:4" ht="12.75">
      <c r="A34" s="13" t="s">
        <v>49</v>
      </c>
      <c r="B34" s="17" t="s">
        <v>50</v>
      </c>
      <c r="C34" s="15">
        <v>921.4</v>
      </c>
      <c r="D34" s="16" t="s">
        <v>51</v>
      </c>
    </row>
    <row r="35" spans="1:4" ht="12.75">
      <c r="A35" s="13" t="s">
        <v>52</v>
      </c>
      <c r="B35" s="17" t="s">
        <v>39</v>
      </c>
      <c r="C35" s="15">
        <v>1382</v>
      </c>
      <c r="D35" s="16" t="s">
        <v>53</v>
      </c>
    </row>
    <row r="36" spans="1:4" ht="12.75">
      <c r="A36" s="13" t="s">
        <v>54</v>
      </c>
      <c r="B36" s="17" t="s">
        <v>39</v>
      </c>
      <c r="C36" s="15">
        <v>3</v>
      </c>
      <c r="D36" s="16" t="s">
        <v>55</v>
      </c>
    </row>
    <row r="37" spans="1:4" ht="12.75" customHeight="1">
      <c r="A37" s="13" t="s">
        <v>56</v>
      </c>
      <c r="B37" s="17" t="s">
        <v>39</v>
      </c>
      <c r="C37" s="15">
        <v>3</v>
      </c>
      <c r="D37" s="16" t="s">
        <v>57</v>
      </c>
    </row>
    <row r="38" spans="1:4" ht="12.75">
      <c r="A38" s="13"/>
      <c r="B38" s="17" t="s">
        <v>39</v>
      </c>
      <c r="C38" s="15">
        <v>3</v>
      </c>
      <c r="D38" s="16" t="s">
        <v>58</v>
      </c>
    </row>
    <row r="39" spans="1:4" ht="12.75">
      <c r="A39" s="13" t="s">
        <v>59</v>
      </c>
      <c r="B39" s="17" t="s">
        <v>39</v>
      </c>
      <c r="C39" s="15">
        <v>27</v>
      </c>
      <c r="D39" s="16" t="s">
        <v>60</v>
      </c>
    </row>
    <row r="40" spans="1:4" ht="12.75">
      <c r="A40" s="13" t="s">
        <v>61</v>
      </c>
      <c r="B40" s="17" t="s">
        <v>39</v>
      </c>
      <c r="C40" s="15">
        <v>1312.8</v>
      </c>
      <c r="D40" s="16" t="s">
        <v>46</v>
      </c>
    </row>
    <row r="41" spans="1:4" ht="12.75">
      <c r="A41" s="13" t="s">
        <v>62</v>
      </c>
      <c r="B41" s="17" t="s">
        <v>39</v>
      </c>
      <c r="C41" s="15">
        <v>921</v>
      </c>
      <c r="D41" s="16" t="s">
        <v>53</v>
      </c>
    </row>
    <row r="42" spans="1:4" ht="12.75">
      <c r="A42" s="13" t="s">
        <v>63</v>
      </c>
      <c r="B42" s="17" t="s">
        <v>39</v>
      </c>
      <c r="C42" s="15">
        <v>3</v>
      </c>
      <c r="D42" s="16" t="s">
        <v>44</v>
      </c>
    </row>
    <row r="43" spans="1:4" ht="12.75">
      <c r="A43" s="13" t="s">
        <v>64</v>
      </c>
      <c r="B43" s="17" t="s">
        <v>39</v>
      </c>
      <c r="C43" s="15">
        <v>121</v>
      </c>
      <c r="D43" s="16" t="s">
        <v>44</v>
      </c>
    </row>
    <row r="44" spans="1:4" ht="25.5">
      <c r="A44" s="13" t="s">
        <v>65</v>
      </c>
      <c r="B44" s="17" t="s">
        <v>39</v>
      </c>
      <c r="C44" s="15">
        <v>36</v>
      </c>
      <c r="D44" s="16" t="s">
        <v>53</v>
      </c>
    </row>
    <row r="45" spans="1:4" ht="12.75">
      <c r="A45" s="13" t="s">
        <v>66</v>
      </c>
      <c r="B45" s="17" t="s">
        <v>67</v>
      </c>
      <c r="C45" s="15">
        <v>3</v>
      </c>
      <c r="D45" s="16" t="s">
        <v>60</v>
      </c>
    </row>
    <row r="46" spans="1:4" ht="25.5">
      <c r="A46" s="13" t="s">
        <v>68</v>
      </c>
      <c r="B46" s="17" t="s">
        <v>67</v>
      </c>
      <c r="C46" s="15">
        <v>3</v>
      </c>
      <c r="D46" s="16" t="s">
        <v>69</v>
      </c>
    </row>
    <row r="47" spans="1:4" ht="12.75">
      <c r="A47" s="13" t="s">
        <v>70</v>
      </c>
      <c r="B47" s="17" t="s">
        <v>39</v>
      </c>
      <c r="C47" s="15">
        <v>15</v>
      </c>
      <c r="D47" s="16" t="s">
        <v>71</v>
      </c>
    </row>
    <row r="48" spans="1:4" ht="25.5">
      <c r="A48" s="13" t="s">
        <v>72</v>
      </c>
      <c r="B48" s="17" t="s">
        <v>39</v>
      </c>
      <c r="C48" s="15">
        <f>1*1.88*8*3</f>
        <v>45.12</v>
      </c>
      <c r="D48" s="16" t="s">
        <v>53</v>
      </c>
    </row>
    <row r="49" spans="1:4" ht="12.75">
      <c r="A49" s="13" t="s">
        <v>73</v>
      </c>
      <c r="B49" s="17" t="s">
        <v>67</v>
      </c>
      <c r="C49" s="15">
        <v>3</v>
      </c>
      <c r="D49" s="16" t="s">
        <v>44</v>
      </c>
    </row>
    <row r="50" spans="1:4" ht="12.75">
      <c r="A50" s="13" t="s">
        <v>74</v>
      </c>
      <c r="B50" s="17" t="s">
        <v>39</v>
      </c>
      <c r="C50" s="15">
        <v>1312.8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25.5" customHeight="1">
      <c r="A56" s="13" t="s">
        <v>82</v>
      </c>
      <c r="B56" s="24" t="s">
        <v>79</v>
      </c>
      <c r="C56" s="24"/>
      <c r="D56" s="13" t="s">
        <v>83</v>
      </c>
    </row>
    <row r="57" spans="1:4" ht="25.5" customHeight="1">
      <c r="A57" s="13" t="s">
        <v>84</v>
      </c>
      <c r="B57" s="24" t="s">
        <v>79</v>
      </c>
      <c r="C57" s="24"/>
      <c r="D57" s="13" t="s">
        <v>83</v>
      </c>
    </row>
    <row r="58" spans="1:4" ht="24.75" customHeight="1">
      <c r="A58" s="13" t="s">
        <v>85</v>
      </c>
      <c r="B58" s="24" t="s">
        <v>79</v>
      </c>
      <c r="C58" s="24"/>
      <c r="D58" s="13" t="s">
        <v>86</v>
      </c>
    </row>
    <row r="59" spans="1:4" ht="25.5" customHeight="1">
      <c r="A59" s="13" t="s">
        <v>87</v>
      </c>
      <c r="B59" s="24" t="s">
        <v>79</v>
      </c>
      <c r="C59" s="24"/>
      <c r="D59" s="13" t="s">
        <v>88</v>
      </c>
    </row>
    <row r="60" spans="1:4" ht="25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5.5" customHeight="1">
      <c r="A62" s="13" t="s">
        <v>91</v>
      </c>
      <c r="B62" s="24" t="s">
        <v>79</v>
      </c>
      <c r="C62" s="24"/>
      <c r="D62" s="13" t="s">
        <v>92</v>
      </c>
    </row>
    <row r="63" spans="1:4" ht="25.5" customHeight="1">
      <c r="A63" s="25" t="s">
        <v>93</v>
      </c>
      <c r="B63" s="26" t="s">
        <v>79</v>
      </c>
      <c r="C63" s="26"/>
      <c r="D63" s="27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7.75" customHeight="1">
      <c r="A65" s="13" t="s">
        <v>96</v>
      </c>
      <c r="B65" s="24" t="s">
        <v>79</v>
      </c>
      <c r="C65" s="24"/>
      <c r="D65" s="13" t="s">
        <v>88</v>
      </c>
    </row>
    <row r="66" spans="1:4" ht="25.5" customHeight="1">
      <c r="A66" s="13" t="s">
        <v>97</v>
      </c>
      <c r="B66" s="24" t="s">
        <v>79</v>
      </c>
      <c r="C66" s="24"/>
      <c r="D66" s="13" t="s">
        <v>98</v>
      </c>
    </row>
    <row r="67" spans="1:4" ht="25.5" customHeight="1">
      <c r="A67" s="13" t="s">
        <v>99</v>
      </c>
      <c r="B67" s="24" t="s">
        <v>79</v>
      </c>
      <c r="C67" s="24"/>
      <c r="D67" s="13" t="s">
        <v>100</v>
      </c>
    </row>
    <row r="68" spans="1:4" ht="27.75" customHeight="1">
      <c r="A68" s="13" t="s">
        <v>101</v>
      </c>
      <c r="B68" s="24" t="s">
        <v>79</v>
      </c>
      <c r="C68" s="24"/>
      <c r="D68" s="13" t="s">
        <v>88</v>
      </c>
    </row>
    <row r="69" spans="1:4" ht="26.25" customHeight="1">
      <c r="A69" s="13" t="s">
        <v>102</v>
      </c>
      <c r="B69" s="24" t="s">
        <v>79</v>
      </c>
      <c r="C69" s="24"/>
      <c r="D69" s="13" t="s">
        <v>60</v>
      </c>
    </row>
    <row r="70" spans="1:4" ht="30" customHeight="1">
      <c r="A70" s="13" t="s">
        <v>103</v>
      </c>
      <c r="B70" s="24" t="s">
        <v>79</v>
      </c>
      <c r="C70" s="24"/>
      <c r="D70" s="13" t="s">
        <v>104</v>
      </c>
    </row>
    <row r="71" spans="1:4" ht="25.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4.75" customHeight="1">
      <c r="A73" s="13" t="s">
        <v>89</v>
      </c>
      <c r="B73" s="24" t="s">
        <v>79</v>
      </c>
      <c r="C73" s="24"/>
      <c r="D73" s="13" t="s">
        <v>40</v>
      </c>
    </row>
    <row r="74" spans="1:4" ht="25.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4" ht="27.75" customHeight="1">
      <c r="A76" s="13" t="s">
        <v>111</v>
      </c>
      <c r="B76" s="14" t="s">
        <v>112</v>
      </c>
      <c r="C76" s="15">
        <f>257*1.15*12</f>
        <v>3546.5999999999995</v>
      </c>
      <c r="D76" s="32" t="s">
        <v>69</v>
      </c>
    </row>
    <row r="77" spans="1:4" ht="12.75">
      <c r="A77" s="13" t="s">
        <v>113</v>
      </c>
      <c r="B77" s="33" t="s">
        <v>112</v>
      </c>
      <c r="C77" s="15">
        <f>0.75*3*2*51</f>
        <v>229.5</v>
      </c>
      <c r="D77" s="32" t="s">
        <v>114</v>
      </c>
    </row>
    <row r="78" spans="1:4" ht="12.75">
      <c r="A78" s="13" t="s">
        <v>115</v>
      </c>
      <c r="B78" s="14" t="s">
        <v>67</v>
      </c>
      <c r="C78" s="15">
        <v>3</v>
      </c>
      <c r="D78" s="32" t="s">
        <v>116</v>
      </c>
    </row>
    <row r="79" spans="1:4" ht="12.75" customHeight="1">
      <c r="A79" s="18" t="s">
        <v>117</v>
      </c>
      <c r="B79" s="18"/>
      <c r="C79" s="34"/>
      <c r="D79" s="19"/>
    </row>
    <row r="80" spans="1:4" ht="12.75">
      <c r="A80" s="35" t="s">
        <v>118</v>
      </c>
      <c r="B80" s="36"/>
      <c r="C80" s="37"/>
      <c r="D80" s="38"/>
    </row>
    <row r="81" spans="1:4" ht="12.75">
      <c r="A81" s="39" t="s">
        <v>119</v>
      </c>
      <c r="B81" s="40" t="s">
        <v>39</v>
      </c>
      <c r="C81" s="41">
        <f>6+1</f>
        <v>7</v>
      </c>
      <c r="D81" s="42"/>
    </row>
    <row r="82" spans="1:4" ht="12.75">
      <c r="A82" s="39" t="s">
        <v>120</v>
      </c>
      <c r="B82" s="40" t="s">
        <v>67</v>
      </c>
      <c r="C82" s="41">
        <f>3+3+3</f>
        <v>9</v>
      </c>
      <c r="D82" s="42"/>
    </row>
    <row r="83" spans="1:4" ht="12.75">
      <c r="A83" s="39" t="s">
        <v>121</v>
      </c>
      <c r="B83" s="40" t="s">
        <v>122</v>
      </c>
      <c r="C83" s="40">
        <f>1+1+1</f>
        <v>3</v>
      </c>
      <c r="D83" s="42"/>
    </row>
    <row r="84" spans="1:4" s="1" customFormat="1" ht="12.75">
      <c r="A84" s="43" t="s">
        <v>123</v>
      </c>
      <c r="B84" s="41" t="s">
        <v>67</v>
      </c>
      <c r="C84" s="41">
        <v>14</v>
      </c>
      <c r="D84" s="44"/>
    </row>
    <row r="85" spans="1:4" ht="12.75">
      <c r="A85" s="35" t="s">
        <v>124</v>
      </c>
      <c r="B85" s="36"/>
      <c r="C85" s="36"/>
      <c r="D85" s="45"/>
    </row>
    <row r="86" spans="1:4" ht="12.75">
      <c r="A86" s="43" t="s">
        <v>125</v>
      </c>
      <c r="B86" s="41" t="s">
        <v>122</v>
      </c>
      <c r="C86" s="40">
        <v>2</v>
      </c>
      <c r="D86" s="42"/>
    </row>
    <row r="87" spans="1:4" ht="12.75">
      <c r="A87" s="35" t="s">
        <v>126</v>
      </c>
      <c r="B87" s="36"/>
      <c r="C87" s="36"/>
      <c r="D87" s="45"/>
    </row>
    <row r="88" spans="1:4" ht="12.75">
      <c r="A88" s="43" t="s">
        <v>127</v>
      </c>
      <c r="B88" s="46" t="s">
        <v>67</v>
      </c>
      <c r="C88" s="41">
        <f>2</f>
        <v>2</v>
      </c>
      <c r="D88" s="42"/>
    </row>
    <row r="89" spans="1:4" ht="12.75">
      <c r="A89" s="43" t="s">
        <v>128</v>
      </c>
      <c r="B89" s="46" t="s">
        <v>67</v>
      </c>
      <c r="C89" s="41">
        <f>1+1</f>
        <v>2</v>
      </c>
      <c r="D89" s="42"/>
    </row>
    <row r="90" spans="1:4" ht="12.75">
      <c r="A90" s="43" t="s">
        <v>129</v>
      </c>
      <c r="B90" s="40" t="s">
        <v>67</v>
      </c>
      <c r="C90" s="41">
        <v>3</v>
      </c>
      <c r="D90" s="47" t="s">
        <v>130</v>
      </c>
    </row>
    <row r="91" spans="1:4" ht="12.75">
      <c r="A91" s="43" t="s">
        <v>131</v>
      </c>
      <c r="B91" s="40" t="s">
        <v>67</v>
      </c>
      <c r="C91" s="41">
        <f>1+1</f>
        <v>2</v>
      </c>
      <c r="D91" s="42"/>
    </row>
    <row r="92" spans="1:4" ht="12.75">
      <c r="A92" s="43" t="s">
        <v>132</v>
      </c>
      <c r="B92" s="40" t="s">
        <v>133</v>
      </c>
      <c r="C92" s="41">
        <v>3</v>
      </c>
      <c r="D92" s="42"/>
    </row>
    <row r="93" spans="1:4" ht="12.75">
      <c r="A93" s="43" t="s">
        <v>134</v>
      </c>
      <c r="B93" s="40" t="s">
        <v>39</v>
      </c>
      <c r="C93" s="41">
        <f>0.6+0.7+0.5+0.6+2.4+3.4+1+0.5+1.2+1.2+0.7+0.7+0.9</f>
        <v>14.399999999999997</v>
      </c>
      <c r="D93" s="42"/>
    </row>
    <row r="94" spans="1:4" ht="12.75">
      <c r="A94" s="43" t="s">
        <v>135</v>
      </c>
      <c r="B94" s="40" t="s">
        <v>67</v>
      </c>
      <c r="C94" s="41">
        <f>2</f>
        <v>2</v>
      </c>
      <c r="D94" s="42"/>
    </row>
    <row r="95" spans="1:4" ht="12.75">
      <c r="A95" s="43" t="s">
        <v>136</v>
      </c>
      <c r="B95" s="40" t="s">
        <v>67</v>
      </c>
      <c r="C95" s="41">
        <f>1+2+1+1</f>
        <v>5</v>
      </c>
      <c r="D95" s="42"/>
    </row>
    <row r="96" spans="1:4" ht="12.75">
      <c r="A96" s="35" t="s">
        <v>137</v>
      </c>
      <c r="B96" s="48"/>
      <c r="C96" s="36"/>
      <c r="D96" s="45"/>
    </row>
    <row r="97" spans="1:4" ht="12.75">
      <c r="A97" s="39" t="s">
        <v>125</v>
      </c>
      <c r="B97" s="40" t="s">
        <v>67</v>
      </c>
      <c r="C97" s="41">
        <f>2+1</f>
        <v>3</v>
      </c>
      <c r="D97" s="42"/>
    </row>
    <row r="98" spans="1:4" ht="12.75">
      <c r="A98" s="39" t="s">
        <v>138</v>
      </c>
      <c r="B98" s="40" t="s">
        <v>122</v>
      </c>
      <c r="C98" s="41">
        <f>1+2</f>
        <v>3</v>
      </c>
      <c r="D98" s="42"/>
    </row>
    <row r="99" spans="1:4" ht="12.75">
      <c r="A99" s="35" t="s">
        <v>139</v>
      </c>
      <c r="B99" s="36"/>
      <c r="C99" s="36"/>
      <c r="D99" s="45"/>
    </row>
    <row r="100" spans="1:4" ht="12.75">
      <c r="A100" s="39" t="s">
        <v>140</v>
      </c>
      <c r="B100" s="40" t="s">
        <v>39</v>
      </c>
      <c r="C100" s="40">
        <v>1</v>
      </c>
      <c r="D100" s="42"/>
    </row>
    <row r="101" spans="1:4" ht="12.75">
      <c r="A101" s="49" t="s">
        <v>141</v>
      </c>
      <c r="B101" s="36"/>
      <c r="C101" s="50"/>
      <c r="D101" s="45"/>
    </row>
    <row r="102" spans="1:4" ht="12.75">
      <c r="A102" s="51" t="s">
        <v>142</v>
      </c>
      <c r="B102" s="41" t="s">
        <v>67</v>
      </c>
      <c r="C102" s="40">
        <f>1+1</f>
        <v>2</v>
      </c>
      <c r="D102" s="42"/>
    </row>
    <row r="103" spans="1:4" ht="12.75">
      <c r="A103" s="51" t="s">
        <v>143</v>
      </c>
      <c r="B103" s="40" t="s">
        <v>67</v>
      </c>
      <c r="C103" s="41">
        <v>9</v>
      </c>
      <c r="D103" s="42"/>
    </row>
    <row r="104" spans="1:4" ht="12.75">
      <c r="A104" s="51" t="s">
        <v>144</v>
      </c>
      <c r="B104" s="40" t="s">
        <v>67</v>
      </c>
      <c r="C104" s="40">
        <v>1</v>
      </c>
      <c r="D104" s="42"/>
    </row>
    <row r="105" spans="1:4" ht="12.75">
      <c r="A105" s="49" t="s">
        <v>145</v>
      </c>
      <c r="B105" s="36"/>
      <c r="C105" s="36"/>
      <c r="D105" s="45"/>
    </row>
    <row r="106" spans="1:4" ht="12.75">
      <c r="A106" s="52" t="s">
        <v>146</v>
      </c>
      <c r="B106" s="40" t="s">
        <v>67</v>
      </c>
      <c r="C106" s="40">
        <v>1</v>
      </c>
      <c r="D106" s="42"/>
    </row>
    <row r="107" spans="1:4" ht="12.75">
      <c r="A107" s="52" t="s">
        <v>147</v>
      </c>
      <c r="B107" s="40" t="s">
        <v>67</v>
      </c>
      <c r="C107" s="40">
        <f>2+1</f>
        <v>3</v>
      </c>
      <c r="D107" s="42"/>
    </row>
    <row r="108" spans="1:4" ht="12.75">
      <c r="A108" s="52" t="s">
        <v>148</v>
      </c>
      <c r="B108" s="40" t="s">
        <v>67</v>
      </c>
      <c r="C108" s="40">
        <v>1</v>
      </c>
      <c r="D108" s="42"/>
    </row>
    <row r="109" spans="1:4" ht="12.75">
      <c r="A109" s="52" t="s">
        <v>149</v>
      </c>
      <c r="B109" s="40" t="s">
        <v>67</v>
      </c>
      <c r="C109" s="40">
        <v>3</v>
      </c>
      <c r="D109" s="42"/>
    </row>
    <row r="110" spans="1:4" ht="12.75">
      <c r="A110" s="52" t="s">
        <v>150</v>
      </c>
      <c r="B110" s="41" t="s">
        <v>39</v>
      </c>
      <c r="C110" s="40">
        <v>20</v>
      </c>
      <c r="D110" s="42"/>
    </row>
    <row r="111" spans="1:4" ht="12.75">
      <c r="A111" s="52" t="s">
        <v>151</v>
      </c>
      <c r="B111" s="41" t="s">
        <v>39</v>
      </c>
      <c r="C111" s="40">
        <f>456</f>
        <v>456</v>
      </c>
      <c r="D111" s="42"/>
    </row>
    <row r="112" spans="1:4" ht="12.75">
      <c r="A112" s="52" t="s">
        <v>152</v>
      </c>
      <c r="B112" s="41" t="s">
        <v>133</v>
      </c>
      <c r="C112" s="40"/>
      <c r="D112" s="42"/>
    </row>
    <row r="113" spans="1:4" ht="12.75">
      <c r="A113" s="53" t="s">
        <v>153</v>
      </c>
      <c r="B113" s="41" t="s">
        <v>67</v>
      </c>
      <c r="C113" s="40">
        <f>18+23</f>
        <v>41</v>
      </c>
      <c r="D113" s="42"/>
    </row>
    <row r="114" spans="1:4" ht="12.75">
      <c r="A114" s="52" t="s">
        <v>154</v>
      </c>
      <c r="B114" s="41" t="s">
        <v>67</v>
      </c>
      <c r="C114" s="40">
        <v>1</v>
      </c>
      <c r="D114" s="42"/>
    </row>
    <row r="115" spans="1:4" ht="12.75">
      <c r="A115" s="52" t="s">
        <v>155</v>
      </c>
      <c r="B115" s="41" t="s">
        <v>112</v>
      </c>
      <c r="C115" s="41">
        <f>7*2</f>
        <v>14</v>
      </c>
      <c r="D115" s="42"/>
    </row>
    <row r="116" spans="1:4" ht="12.75">
      <c r="A116" s="51" t="s">
        <v>156</v>
      </c>
      <c r="B116" s="40" t="s">
        <v>67</v>
      </c>
      <c r="C116" s="40">
        <v>1</v>
      </c>
      <c r="D116" s="42"/>
    </row>
    <row r="117" spans="1:4" ht="12.75">
      <c r="A117" s="49" t="s">
        <v>157</v>
      </c>
      <c r="B117" s="36"/>
      <c r="C117" s="36"/>
      <c r="D117" s="45"/>
    </row>
    <row r="118" spans="1:4" ht="12.75">
      <c r="A118" s="51" t="s">
        <v>158</v>
      </c>
      <c r="B118" s="40" t="s">
        <v>67</v>
      </c>
      <c r="C118" s="40">
        <f>5+7</f>
        <v>12</v>
      </c>
      <c r="D118" s="42"/>
    </row>
    <row r="119" spans="1:4" ht="12.75">
      <c r="A119" s="51" t="s">
        <v>159</v>
      </c>
      <c r="B119" s="40" t="s">
        <v>67</v>
      </c>
      <c r="C119" s="40">
        <v>3</v>
      </c>
      <c r="D119" s="42"/>
    </row>
    <row r="120" spans="1:4" ht="12.75">
      <c r="A120" s="51" t="s">
        <v>160</v>
      </c>
      <c r="B120" s="40" t="s">
        <v>67</v>
      </c>
      <c r="C120" s="40">
        <v>3</v>
      </c>
      <c r="D120" s="42"/>
    </row>
    <row r="121" spans="1:4" ht="12.75">
      <c r="A121" s="35" t="s">
        <v>161</v>
      </c>
      <c r="B121" s="36"/>
      <c r="C121" s="36"/>
      <c r="D121" s="45"/>
    </row>
    <row r="122" spans="1:4" ht="12.75">
      <c r="A122" s="54" t="s">
        <v>162</v>
      </c>
      <c r="B122" s="55" t="s">
        <v>39</v>
      </c>
      <c r="C122" s="56">
        <v>1312.8</v>
      </c>
      <c r="D122" s="57" t="s">
        <v>44</v>
      </c>
    </row>
    <row r="123" spans="1:4" ht="25.5">
      <c r="A123" s="54" t="s">
        <v>163</v>
      </c>
      <c r="B123" s="58" t="s">
        <v>39</v>
      </c>
      <c r="C123" s="56">
        <v>1312.8</v>
      </c>
      <c r="D123" s="59" t="s">
        <v>164</v>
      </c>
    </row>
    <row r="124" spans="1:4" ht="13.5" customHeight="1">
      <c r="A124" s="35" t="s">
        <v>165</v>
      </c>
      <c r="B124" s="60"/>
      <c r="C124" s="61"/>
      <c r="D124" s="62"/>
    </row>
    <row r="125" spans="1:4" ht="12.75">
      <c r="A125" s="54" t="s">
        <v>162</v>
      </c>
      <c r="B125" s="33" t="s">
        <v>39</v>
      </c>
      <c r="C125" s="56">
        <f>1312.8+80.64</f>
        <v>1393.44</v>
      </c>
      <c r="D125" s="57" t="s">
        <v>44</v>
      </c>
    </row>
    <row r="126" spans="1:4" ht="12.75">
      <c r="A126" s="54" t="s">
        <v>163</v>
      </c>
      <c r="B126" s="33" t="s">
        <v>39</v>
      </c>
      <c r="C126" s="56">
        <f>1312.8+80.64</f>
        <v>1393.44</v>
      </c>
      <c r="D126" s="59" t="s">
        <v>164</v>
      </c>
    </row>
    <row r="127" spans="1:4" ht="12.75">
      <c r="A127" s="49" t="s">
        <v>166</v>
      </c>
      <c r="B127" s="60"/>
      <c r="C127" s="63"/>
      <c r="D127" s="62"/>
    </row>
    <row r="128" spans="1:4" ht="12.75">
      <c r="A128" s="54" t="s">
        <v>162</v>
      </c>
      <c r="B128" s="33" t="s">
        <v>39</v>
      </c>
      <c r="C128" s="56">
        <f>1312.8+398.7+640.3</f>
        <v>2351.8</v>
      </c>
      <c r="D128" s="57" t="s">
        <v>167</v>
      </c>
    </row>
    <row r="129" spans="1:4" ht="12.75">
      <c r="A129" s="54" t="s">
        <v>163</v>
      </c>
      <c r="B129" s="64" t="s">
        <v>39</v>
      </c>
      <c r="C129" s="56">
        <f>1312.8+398.7+640.3</f>
        <v>2351.8</v>
      </c>
      <c r="D129" s="59" t="s">
        <v>164</v>
      </c>
    </row>
    <row r="130" spans="1:4" ht="13.5" customHeight="1">
      <c r="A130" s="49" t="s">
        <v>168</v>
      </c>
      <c r="B130" s="37"/>
      <c r="C130" s="63"/>
      <c r="D130" s="65"/>
    </row>
    <row r="131" spans="1:5" ht="12.75">
      <c r="A131" s="54" t="s">
        <v>169</v>
      </c>
      <c r="B131" s="33" t="s">
        <v>170</v>
      </c>
      <c r="C131" s="66" t="s">
        <v>171</v>
      </c>
      <c r="D131" s="57" t="s">
        <v>44</v>
      </c>
      <c r="E131" s="67"/>
    </row>
    <row r="132" spans="1:4" ht="12.75">
      <c r="A132" s="54" t="s">
        <v>172</v>
      </c>
      <c r="B132" s="33" t="s">
        <v>170</v>
      </c>
      <c r="C132" s="66" t="s">
        <v>171</v>
      </c>
      <c r="D132" s="68" t="s">
        <v>173</v>
      </c>
    </row>
    <row r="133" spans="1:4" ht="12.75">
      <c r="A133" s="69" t="s">
        <v>174</v>
      </c>
      <c r="B133" s="33" t="s">
        <v>170</v>
      </c>
      <c r="C133" s="55">
        <v>3</v>
      </c>
      <c r="D133" s="57" t="s">
        <v>175</v>
      </c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D126"/>
  <sheetViews>
    <sheetView workbookViewId="0" topLeftCell="A106">
      <selection activeCell="A127" sqref="A127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304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305</v>
      </c>
    </row>
    <row r="8" spans="1:3" ht="12.75">
      <c r="A8" s="1" t="s">
        <v>7</v>
      </c>
      <c r="C8" s="4" t="s">
        <v>306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" t="s">
        <v>307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83"/>
    </row>
    <row r="24" spans="1:3" ht="12.75">
      <c r="A24" s="1" t="s">
        <v>32</v>
      </c>
      <c r="C24" s="71">
        <v>0.8393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299.8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299.8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1447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19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58.3</v>
      </c>
      <c r="D33" s="16" t="s">
        <v>48</v>
      </c>
    </row>
    <row r="34" spans="1:4" ht="25.5">
      <c r="A34" s="13" t="s">
        <v>49</v>
      </c>
      <c r="B34" s="17" t="s">
        <v>50</v>
      </c>
      <c r="C34" s="73">
        <v>300</v>
      </c>
      <c r="D34" s="16" t="s">
        <v>51</v>
      </c>
    </row>
    <row r="35" spans="1:4" ht="25.5">
      <c r="A35" s="13" t="s">
        <v>52</v>
      </c>
      <c r="B35" s="17" t="s">
        <v>39</v>
      </c>
      <c r="C35" s="15">
        <v>450</v>
      </c>
      <c r="D35" s="16" t="s">
        <v>53</v>
      </c>
    </row>
    <row r="36" spans="1:4" ht="12.75">
      <c r="A36" s="13" t="s">
        <v>54</v>
      </c>
      <c r="B36" s="17" t="s">
        <v>39</v>
      </c>
      <c r="C36" s="15"/>
      <c r="D36" s="16" t="s">
        <v>233</v>
      </c>
    </row>
    <row r="37" spans="1:4" ht="12.75">
      <c r="A37" s="13" t="s">
        <v>56</v>
      </c>
      <c r="B37" s="17" t="s">
        <v>39</v>
      </c>
      <c r="C37" s="15"/>
      <c r="D37" s="16" t="s">
        <v>233</v>
      </c>
    </row>
    <row r="38" spans="1:4" ht="25.5">
      <c r="A38" s="13" t="s">
        <v>59</v>
      </c>
      <c r="B38" s="17" t="s">
        <v>39</v>
      </c>
      <c r="C38" s="15"/>
      <c r="D38" s="16" t="s">
        <v>233</v>
      </c>
    </row>
    <row r="39" spans="1:4" ht="12.75">
      <c r="A39" s="13" t="s">
        <v>61</v>
      </c>
      <c r="B39" s="17" t="s">
        <v>39</v>
      </c>
      <c r="C39" s="15">
        <v>1485.8</v>
      </c>
      <c r="D39" s="16" t="s">
        <v>46</v>
      </c>
    </row>
    <row r="40" spans="1:4" ht="25.5">
      <c r="A40" s="13" t="s">
        <v>62</v>
      </c>
      <c r="B40" s="17" t="s">
        <v>39</v>
      </c>
      <c r="C40" s="73">
        <v>300</v>
      </c>
      <c r="D40" s="16" t="s">
        <v>53</v>
      </c>
    </row>
    <row r="41" spans="1:4" ht="12.75">
      <c r="A41" s="13" t="s">
        <v>63</v>
      </c>
      <c r="B41" s="17" t="s">
        <v>39</v>
      </c>
      <c r="C41" s="15"/>
      <c r="D41" s="16" t="s">
        <v>233</v>
      </c>
    </row>
    <row r="42" spans="1:4" ht="12.75">
      <c r="A42" s="13" t="s">
        <v>64</v>
      </c>
      <c r="B42" s="17" t="s">
        <v>39</v>
      </c>
      <c r="C42" s="15"/>
      <c r="D42" s="16" t="s">
        <v>233</v>
      </c>
    </row>
    <row r="43" spans="1:4" ht="12.75">
      <c r="A43" s="13" t="s">
        <v>65</v>
      </c>
      <c r="B43" s="17" t="s">
        <v>39</v>
      </c>
      <c r="C43" s="15"/>
      <c r="D43" s="16" t="s">
        <v>233</v>
      </c>
    </row>
    <row r="44" spans="1:4" ht="12.75">
      <c r="A44" s="13" t="s">
        <v>66</v>
      </c>
      <c r="B44" s="17" t="s">
        <v>67</v>
      </c>
      <c r="C44" s="15"/>
      <c r="D44" s="16" t="s">
        <v>233</v>
      </c>
    </row>
    <row r="45" spans="1:4" ht="25.5">
      <c r="A45" s="13" t="s">
        <v>68</v>
      </c>
      <c r="B45" s="17" t="s">
        <v>67</v>
      </c>
      <c r="C45" s="15"/>
      <c r="D45" s="16" t="s">
        <v>233</v>
      </c>
    </row>
    <row r="46" spans="1:4" ht="12.75">
      <c r="A46" s="13" t="s">
        <v>70</v>
      </c>
      <c r="B46" s="17" t="s">
        <v>39</v>
      </c>
      <c r="C46" s="15"/>
      <c r="D46" s="16" t="s">
        <v>233</v>
      </c>
    </row>
    <row r="47" spans="1:4" ht="12.75">
      <c r="A47" s="13" t="s">
        <v>72</v>
      </c>
      <c r="B47" s="17" t="s">
        <v>39</v>
      </c>
      <c r="C47" s="15"/>
      <c r="D47" s="16" t="s">
        <v>233</v>
      </c>
    </row>
    <row r="48" spans="1:4" ht="25.5">
      <c r="A48" s="13" t="s">
        <v>73</v>
      </c>
      <c r="B48" s="17" t="s">
        <v>67</v>
      </c>
      <c r="C48" s="15"/>
      <c r="D48" s="16" t="s">
        <v>233</v>
      </c>
    </row>
    <row r="49" spans="1:4" ht="12.75">
      <c r="A49" s="13" t="s">
        <v>74</v>
      </c>
      <c r="B49" s="17" t="s">
        <v>39</v>
      </c>
      <c r="C49" s="15">
        <v>743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25.5" customHeight="1">
      <c r="A55" s="13" t="s">
        <v>82</v>
      </c>
      <c r="B55" s="24" t="s">
        <v>79</v>
      </c>
      <c r="C55" s="24"/>
      <c r="D55" s="13" t="s">
        <v>83</v>
      </c>
    </row>
    <row r="56" spans="1:4" ht="25.5" customHeight="1">
      <c r="A56" s="13" t="s">
        <v>84</v>
      </c>
      <c r="B56" s="24" t="s">
        <v>79</v>
      </c>
      <c r="C56" s="24"/>
      <c r="D56" s="13" t="s">
        <v>83</v>
      </c>
    </row>
    <row r="57" spans="1:4" ht="27" customHeight="1">
      <c r="A57" s="13" t="s">
        <v>85</v>
      </c>
      <c r="B57" s="24" t="s">
        <v>79</v>
      </c>
      <c r="C57" s="24"/>
      <c r="D57" s="13" t="s">
        <v>86</v>
      </c>
    </row>
    <row r="58" spans="1:4" ht="29.25" customHeight="1">
      <c r="A58" s="13" t="s">
        <v>87</v>
      </c>
      <c r="B58" s="24" t="s">
        <v>79</v>
      </c>
      <c r="C58" s="24"/>
      <c r="D58" s="13" t="s">
        <v>88</v>
      </c>
    </row>
    <row r="59" spans="1:4" ht="25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5.5" customHeight="1">
      <c r="A61" s="13" t="s">
        <v>91</v>
      </c>
      <c r="B61" s="24" t="s">
        <v>79</v>
      </c>
      <c r="C61" s="24"/>
      <c r="D61" s="13" t="s">
        <v>92</v>
      </c>
    </row>
    <row r="62" spans="1:4" ht="27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7.75" customHeight="1">
      <c r="A64" s="13" t="s">
        <v>96</v>
      </c>
      <c r="B64" s="24" t="s">
        <v>79</v>
      </c>
      <c r="C64" s="24"/>
      <c r="D64" s="13" t="s">
        <v>88</v>
      </c>
    </row>
    <row r="65" spans="1:4" ht="25.5" customHeight="1">
      <c r="A65" s="13" t="s">
        <v>97</v>
      </c>
      <c r="B65" s="24" t="s">
        <v>79</v>
      </c>
      <c r="C65" s="24"/>
      <c r="D65" s="13" t="s">
        <v>98</v>
      </c>
    </row>
    <row r="66" spans="1:4" ht="25.5" customHeight="1">
      <c r="A66" s="13" t="s">
        <v>99</v>
      </c>
      <c r="B66" s="24" t="s">
        <v>79</v>
      </c>
      <c r="C66" s="24"/>
      <c r="D66" s="13" t="s">
        <v>100</v>
      </c>
    </row>
    <row r="67" spans="1:4" ht="27.75" customHeight="1">
      <c r="A67" s="13" t="s">
        <v>101</v>
      </c>
      <c r="B67" s="24" t="s">
        <v>79</v>
      </c>
      <c r="C67" s="24"/>
      <c r="D67" s="13" t="s">
        <v>88</v>
      </c>
    </row>
    <row r="68" spans="1:4" ht="26.25" customHeight="1">
      <c r="A68" s="13" t="s">
        <v>102</v>
      </c>
      <c r="B68" s="24" t="s">
        <v>79</v>
      </c>
      <c r="C68" s="24"/>
      <c r="D68" s="13" t="s">
        <v>60</v>
      </c>
    </row>
    <row r="69" spans="1:4" ht="30" customHeight="1">
      <c r="A69" s="13" t="s">
        <v>103</v>
      </c>
      <c r="B69" s="24" t="s">
        <v>79</v>
      </c>
      <c r="C69" s="24"/>
      <c r="D69" s="13" t="s">
        <v>104</v>
      </c>
    </row>
    <row r="70" spans="1:4" ht="25.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.75" customHeight="1">
      <c r="A72" s="13" t="s">
        <v>89</v>
      </c>
      <c r="B72" s="24" t="s">
        <v>79</v>
      </c>
      <c r="C72" s="24"/>
      <c r="D72" s="13" t="s">
        <v>40</v>
      </c>
    </row>
    <row r="73" spans="1:4" ht="25.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4" ht="27.75" customHeight="1">
      <c r="A75" s="13" t="s">
        <v>111</v>
      </c>
      <c r="B75" s="14" t="s">
        <v>112</v>
      </c>
      <c r="C75" s="15">
        <f>204*1.15*12</f>
        <v>2815.2</v>
      </c>
      <c r="D75" s="74" t="s">
        <v>69</v>
      </c>
    </row>
    <row r="76" spans="1:4" ht="12.75">
      <c r="A76" s="13" t="s">
        <v>113</v>
      </c>
      <c r="B76" s="33" t="s">
        <v>112</v>
      </c>
      <c r="C76" s="15">
        <f>0.75*4*2*51</f>
        <v>306</v>
      </c>
      <c r="D76" s="74" t="s">
        <v>114</v>
      </c>
    </row>
    <row r="77" spans="1:4" ht="25.5">
      <c r="A77" s="13" t="s">
        <v>115</v>
      </c>
      <c r="B77" s="14" t="s">
        <v>67</v>
      </c>
      <c r="C77" s="15">
        <v>3</v>
      </c>
      <c r="D77" s="74" t="s">
        <v>116</v>
      </c>
    </row>
    <row r="78" spans="1:4" ht="12.75" customHeight="1">
      <c r="A78" s="28" t="s">
        <v>117</v>
      </c>
      <c r="B78" s="28"/>
      <c r="C78" s="29"/>
      <c r="D78" s="30"/>
    </row>
    <row r="79" spans="1:4" ht="12.75">
      <c r="A79" s="35" t="s">
        <v>235</v>
      </c>
      <c r="B79" s="36"/>
      <c r="C79" s="82"/>
      <c r="D79" s="38"/>
    </row>
    <row r="80" spans="1:4" ht="12.75">
      <c r="A80" s="39" t="s">
        <v>236</v>
      </c>
      <c r="B80" s="40" t="s">
        <v>67</v>
      </c>
      <c r="C80" s="40">
        <f>1+1+1</f>
        <v>3</v>
      </c>
      <c r="D80" s="42"/>
    </row>
    <row r="81" spans="1:4" ht="12.75">
      <c r="A81" s="35" t="s">
        <v>126</v>
      </c>
      <c r="B81" s="36"/>
      <c r="C81" s="36"/>
      <c r="D81" s="45"/>
    </row>
    <row r="82" spans="1:4" ht="12.75">
      <c r="A82" s="43" t="s">
        <v>212</v>
      </c>
      <c r="B82" s="46" t="s">
        <v>67</v>
      </c>
      <c r="C82" s="41">
        <f>1+2+1</f>
        <v>4</v>
      </c>
      <c r="D82" s="42"/>
    </row>
    <row r="83" spans="1:4" ht="12.75">
      <c r="A83" s="43" t="s">
        <v>129</v>
      </c>
      <c r="B83" s="40" t="s">
        <v>67</v>
      </c>
      <c r="C83" s="41">
        <v>4</v>
      </c>
      <c r="D83" s="68" t="s">
        <v>186</v>
      </c>
    </row>
    <row r="84" spans="1:4" s="1" customFormat="1" ht="12.75">
      <c r="A84" s="43" t="s">
        <v>131</v>
      </c>
      <c r="B84" s="41" t="s">
        <v>67</v>
      </c>
      <c r="C84" s="41">
        <v>4</v>
      </c>
      <c r="D84" s="68" t="s">
        <v>130</v>
      </c>
    </row>
    <row r="85" spans="1:4" ht="12.75">
      <c r="A85" s="43" t="s">
        <v>266</v>
      </c>
      <c r="B85" s="46" t="s">
        <v>133</v>
      </c>
      <c r="C85" s="41">
        <v>4</v>
      </c>
      <c r="D85" s="42"/>
    </row>
    <row r="86" spans="1:4" ht="12.75">
      <c r="A86" s="43" t="s">
        <v>132</v>
      </c>
      <c r="B86" s="40" t="s">
        <v>133</v>
      </c>
      <c r="C86" s="41">
        <f>6</f>
        <v>6</v>
      </c>
      <c r="D86" s="42"/>
    </row>
    <row r="87" spans="1:4" ht="12.75">
      <c r="A87" s="43" t="s">
        <v>190</v>
      </c>
      <c r="B87" s="40" t="s">
        <v>67</v>
      </c>
      <c r="C87" s="41">
        <f>1+1</f>
        <v>2</v>
      </c>
      <c r="D87" s="42"/>
    </row>
    <row r="88" spans="1:4" ht="12.75">
      <c r="A88" s="43" t="s">
        <v>134</v>
      </c>
      <c r="B88" s="40" t="s">
        <v>39</v>
      </c>
      <c r="C88" s="41">
        <f>0.6+4.2+0.7+0.6+0.5</f>
        <v>6.6</v>
      </c>
      <c r="D88" s="42"/>
    </row>
    <row r="89" spans="1:4" ht="12.75">
      <c r="A89" s="43" t="s">
        <v>277</v>
      </c>
      <c r="B89" s="40" t="s">
        <v>67</v>
      </c>
      <c r="C89" s="41">
        <v>1</v>
      </c>
      <c r="D89" s="42"/>
    </row>
    <row r="90" spans="1:4" ht="12.75">
      <c r="A90" s="43" t="s">
        <v>135</v>
      </c>
      <c r="B90" s="40" t="s">
        <v>67</v>
      </c>
      <c r="C90" s="40">
        <v>7</v>
      </c>
      <c r="D90" s="42"/>
    </row>
    <row r="91" spans="1:4" ht="12.75">
      <c r="A91" s="35" t="s">
        <v>238</v>
      </c>
      <c r="B91" s="36"/>
      <c r="C91" s="36"/>
      <c r="D91" s="45"/>
    </row>
    <row r="92" spans="1:4" ht="12.75">
      <c r="A92" s="43" t="s">
        <v>239</v>
      </c>
      <c r="B92" s="40" t="s">
        <v>133</v>
      </c>
      <c r="C92" s="40">
        <v>23</v>
      </c>
      <c r="D92" s="42"/>
    </row>
    <row r="93" spans="1:4" ht="12.75">
      <c r="A93" s="35" t="s">
        <v>139</v>
      </c>
      <c r="B93" s="36"/>
      <c r="C93" s="36"/>
      <c r="D93" s="45"/>
    </row>
    <row r="94" spans="1:4" ht="12.75">
      <c r="A94" s="39" t="s">
        <v>140</v>
      </c>
      <c r="B94" s="40" t="s">
        <v>39</v>
      </c>
      <c r="C94" s="41">
        <f>4.8</f>
        <v>4.8</v>
      </c>
      <c r="D94" s="42"/>
    </row>
    <row r="95" spans="1:4" ht="12.75">
      <c r="A95" s="79" t="s">
        <v>191</v>
      </c>
      <c r="B95" s="40" t="s">
        <v>133</v>
      </c>
      <c r="C95" s="41">
        <f>20+7</f>
        <v>27</v>
      </c>
      <c r="D95" s="42"/>
    </row>
    <row r="96" spans="1:4" ht="12.75">
      <c r="A96" s="49" t="s">
        <v>141</v>
      </c>
      <c r="B96" s="36"/>
      <c r="C96" s="36"/>
      <c r="D96" s="45"/>
    </row>
    <row r="97" spans="1:4" ht="12.75">
      <c r="A97" s="43" t="s">
        <v>291</v>
      </c>
      <c r="B97" s="41" t="s">
        <v>67</v>
      </c>
      <c r="C97" s="41">
        <v>1</v>
      </c>
      <c r="D97" s="81"/>
    </row>
    <row r="98" spans="1:4" ht="12.75">
      <c r="A98" s="39" t="s">
        <v>220</v>
      </c>
      <c r="B98" s="41" t="s">
        <v>67</v>
      </c>
      <c r="C98" s="41">
        <v>1</v>
      </c>
      <c r="D98" s="81"/>
    </row>
    <row r="99" spans="1:4" ht="12.75">
      <c r="A99" s="39" t="s">
        <v>308</v>
      </c>
      <c r="B99" s="40" t="s">
        <v>67</v>
      </c>
      <c r="C99" s="41">
        <v>1</v>
      </c>
      <c r="D99" s="81"/>
    </row>
    <row r="100" spans="1:4" ht="12.75">
      <c r="A100" s="49" t="s">
        <v>145</v>
      </c>
      <c r="B100" s="36"/>
      <c r="C100" s="36"/>
      <c r="D100" s="45"/>
    </row>
    <row r="101" spans="1:4" ht="12.75">
      <c r="A101" s="52" t="s">
        <v>194</v>
      </c>
      <c r="B101" s="41" t="s">
        <v>133</v>
      </c>
      <c r="C101" s="40">
        <f>8</f>
        <v>8</v>
      </c>
      <c r="D101" s="42"/>
    </row>
    <row r="102" spans="1:4" ht="12.75">
      <c r="A102" s="52" t="s">
        <v>309</v>
      </c>
      <c r="B102" s="40" t="s">
        <v>39</v>
      </c>
      <c r="C102" s="40">
        <f>1</f>
        <v>1</v>
      </c>
      <c r="D102" s="42"/>
    </row>
    <row r="103" spans="1:4" s="1" customFormat="1" ht="12.75">
      <c r="A103" s="52" t="s">
        <v>147</v>
      </c>
      <c r="B103" s="40" t="s">
        <v>67</v>
      </c>
      <c r="C103" s="40">
        <f>4</f>
        <v>4</v>
      </c>
      <c r="D103" s="81"/>
    </row>
    <row r="104" spans="1:4" ht="12.75">
      <c r="A104" s="52" t="s">
        <v>149</v>
      </c>
      <c r="B104" s="40" t="s">
        <v>67</v>
      </c>
      <c r="C104" s="40">
        <v>3</v>
      </c>
      <c r="D104" s="42"/>
    </row>
    <row r="105" spans="1:4" ht="12.75">
      <c r="A105" s="52" t="s">
        <v>151</v>
      </c>
      <c r="B105" s="41" t="s">
        <v>39</v>
      </c>
      <c r="C105" s="40">
        <f>205</f>
        <v>205</v>
      </c>
      <c r="D105" s="42"/>
    </row>
    <row r="106" spans="1:4" ht="12.75">
      <c r="A106" s="52" t="s">
        <v>198</v>
      </c>
      <c r="B106" s="41" t="s">
        <v>67</v>
      </c>
      <c r="C106" s="40">
        <f>1</f>
        <v>1</v>
      </c>
      <c r="D106" s="42"/>
    </row>
    <row r="107" spans="1:4" ht="12.75">
      <c r="A107" s="52" t="s">
        <v>154</v>
      </c>
      <c r="B107" s="41" t="s">
        <v>67</v>
      </c>
      <c r="C107" s="40">
        <v>4</v>
      </c>
      <c r="D107" s="42"/>
    </row>
    <row r="108" spans="1:4" ht="12.75">
      <c r="A108" s="52" t="s">
        <v>155</v>
      </c>
      <c r="B108" s="41" t="s">
        <v>112</v>
      </c>
      <c r="C108" s="41">
        <f>7*3</f>
        <v>21</v>
      </c>
      <c r="D108" s="42"/>
    </row>
    <row r="109" spans="1:4" ht="12.75">
      <c r="A109" s="51" t="s">
        <v>310</v>
      </c>
      <c r="B109" s="40" t="s">
        <v>67</v>
      </c>
      <c r="C109" s="40">
        <v>1</v>
      </c>
      <c r="D109" s="42"/>
    </row>
    <row r="110" spans="1:4" ht="12.75">
      <c r="A110" s="51" t="s">
        <v>244</v>
      </c>
      <c r="B110" s="40" t="s">
        <v>39</v>
      </c>
      <c r="C110" s="40">
        <f>21</f>
        <v>21</v>
      </c>
      <c r="D110" s="42"/>
    </row>
    <row r="111" spans="1:4" ht="12.75">
      <c r="A111" s="49" t="s">
        <v>157</v>
      </c>
      <c r="B111" s="36"/>
      <c r="C111" s="36"/>
      <c r="D111" s="45"/>
    </row>
    <row r="112" spans="1:4" ht="12.75">
      <c r="A112" s="51" t="s">
        <v>158</v>
      </c>
      <c r="B112" s="40" t="s">
        <v>67</v>
      </c>
      <c r="C112" s="40">
        <f>14+2+2</f>
        <v>18</v>
      </c>
      <c r="D112" s="42"/>
    </row>
    <row r="113" spans="1:4" ht="12.75">
      <c r="A113" s="51" t="s">
        <v>160</v>
      </c>
      <c r="B113" s="40" t="s">
        <v>67</v>
      </c>
      <c r="C113" s="40">
        <v>4</v>
      </c>
      <c r="D113" s="42"/>
    </row>
    <row r="114" spans="1:4" s="1" customFormat="1" ht="12.75">
      <c r="A114" s="80" t="s">
        <v>202</v>
      </c>
      <c r="B114" s="41" t="s">
        <v>39</v>
      </c>
      <c r="C114" s="41">
        <v>499.5</v>
      </c>
      <c r="D114" s="44"/>
    </row>
    <row r="115" spans="1:4" s="1" customFormat="1" ht="12.75">
      <c r="A115" s="80" t="s">
        <v>303</v>
      </c>
      <c r="B115" s="41" t="s">
        <v>39</v>
      </c>
      <c r="C115" s="41">
        <v>24</v>
      </c>
      <c r="D115" s="44"/>
    </row>
    <row r="116" spans="1:4" ht="12.75">
      <c r="A116" s="49" t="s">
        <v>161</v>
      </c>
      <c r="B116" s="36"/>
      <c r="C116" s="60"/>
      <c r="D116" s="62"/>
    </row>
    <row r="117" spans="1:4" ht="12.75">
      <c r="A117" s="54" t="s">
        <v>162</v>
      </c>
      <c r="B117" s="55" t="s">
        <v>39</v>
      </c>
      <c r="C117" s="56">
        <v>743</v>
      </c>
      <c r="D117" s="68" t="s">
        <v>44</v>
      </c>
    </row>
    <row r="118" spans="1:4" ht="12.75">
      <c r="A118" s="54" t="s">
        <v>163</v>
      </c>
      <c r="B118" s="58" t="s">
        <v>39</v>
      </c>
      <c r="C118" s="56">
        <v>743</v>
      </c>
      <c r="D118" s="89" t="s">
        <v>164</v>
      </c>
    </row>
    <row r="119" spans="1:4" ht="12.75">
      <c r="A119" s="49" t="s">
        <v>165</v>
      </c>
      <c r="B119" s="36"/>
      <c r="C119" s="60"/>
      <c r="D119" s="62"/>
    </row>
    <row r="120" spans="1:4" ht="12.75">
      <c r="A120" s="54" t="s">
        <v>162</v>
      </c>
      <c r="B120" s="55" t="s">
        <v>39</v>
      </c>
      <c r="C120" s="56">
        <f>743+107.52</f>
        <v>850.52</v>
      </c>
      <c r="D120" s="68" t="s">
        <v>44</v>
      </c>
    </row>
    <row r="121" spans="1:4" ht="12.75">
      <c r="A121" s="54" t="s">
        <v>163</v>
      </c>
      <c r="B121" s="55" t="s">
        <v>39</v>
      </c>
      <c r="C121" s="56">
        <f>743+107.52</f>
        <v>850.52</v>
      </c>
      <c r="D121" s="89" t="s">
        <v>164</v>
      </c>
    </row>
    <row r="122" spans="1:4" ht="12.75">
      <c r="A122" s="49" t="s">
        <v>166</v>
      </c>
      <c r="B122" s="36"/>
      <c r="C122" s="60"/>
      <c r="D122" s="62"/>
    </row>
    <row r="123" spans="1:4" ht="12.75">
      <c r="A123" s="54" t="s">
        <v>162</v>
      </c>
      <c r="B123" s="55" t="s">
        <v>39</v>
      </c>
      <c r="C123" s="56">
        <f>743+269.7+8</f>
        <v>1020.7</v>
      </c>
      <c r="D123" s="47" t="s">
        <v>175</v>
      </c>
    </row>
    <row r="124" spans="1:4" ht="12.75">
      <c r="A124" s="54" t="s">
        <v>163</v>
      </c>
      <c r="B124" s="58" t="s">
        <v>39</v>
      </c>
      <c r="C124" s="56">
        <f>743+269.7+8</f>
        <v>1020.7</v>
      </c>
      <c r="D124" s="89" t="s">
        <v>164</v>
      </c>
    </row>
    <row r="126" spans="1:3" ht="12.75">
      <c r="A126" s="90"/>
      <c r="C126" s="105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D130"/>
  <sheetViews>
    <sheetView workbookViewId="0" topLeftCell="A100">
      <selection activeCell="A131" sqref="A131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311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312</v>
      </c>
    </row>
    <row r="8" spans="1:3" ht="12.75">
      <c r="A8" s="1" t="s">
        <v>7</v>
      </c>
      <c r="C8" s="4" t="s">
        <v>313</v>
      </c>
    </row>
    <row r="9" spans="1:3" ht="12.75">
      <c r="A9" s="1" t="s">
        <v>9</v>
      </c>
      <c r="C9" s="70" t="s">
        <v>314</v>
      </c>
    </row>
    <row r="10" ht="12.75">
      <c r="C10" s="7"/>
    </row>
    <row r="11" spans="1:3" ht="12.75">
      <c r="A11" s="1" t="s">
        <v>11</v>
      </c>
      <c r="C11" s="106" t="s">
        <v>315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107"/>
    </row>
    <row r="24" spans="1:3" ht="12.75">
      <c r="A24" s="1" t="s">
        <v>32</v>
      </c>
      <c r="C24" s="71">
        <v>0.8421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277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277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1412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19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58.3</v>
      </c>
      <c r="D33" s="16" t="s">
        <v>48</v>
      </c>
    </row>
    <row r="34" spans="1:4" ht="25.5">
      <c r="A34" s="13" t="s">
        <v>49</v>
      </c>
      <c r="B34" s="17" t="s">
        <v>50</v>
      </c>
      <c r="C34" s="15">
        <v>277</v>
      </c>
      <c r="D34" s="16" t="s">
        <v>51</v>
      </c>
    </row>
    <row r="35" spans="1:4" ht="25.5">
      <c r="A35" s="13" t="s">
        <v>52</v>
      </c>
      <c r="B35" s="17" t="s">
        <v>39</v>
      </c>
      <c r="C35" s="15">
        <v>415</v>
      </c>
      <c r="D35" s="16" t="s">
        <v>53</v>
      </c>
    </row>
    <row r="36" spans="1:4" ht="12.75">
      <c r="A36" s="13" t="s">
        <v>54</v>
      </c>
      <c r="B36" s="17" t="s">
        <v>39</v>
      </c>
      <c r="C36" s="15"/>
      <c r="D36" s="16" t="s">
        <v>233</v>
      </c>
    </row>
    <row r="37" spans="1:4" ht="12.75">
      <c r="A37" s="13" t="s">
        <v>56</v>
      </c>
      <c r="B37" s="17" t="s">
        <v>39</v>
      </c>
      <c r="C37" s="15"/>
      <c r="D37" s="16" t="s">
        <v>233</v>
      </c>
    </row>
    <row r="38" spans="1:4" ht="25.5">
      <c r="A38" s="13" t="s">
        <v>59</v>
      </c>
      <c r="B38" s="17" t="s">
        <v>39</v>
      </c>
      <c r="C38" s="15"/>
      <c r="D38" s="16" t="s">
        <v>233</v>
      </c>
    </row>
    <row r="39" spans="1:4" ht="12.75">
      <c r="A39" s="13" t="s">
        <v>61</v>
      </c>
      <c r="B39" s="17" t="s">
        <v>39</v>
      </c>
      <c r="C39" s="15">
        <v>1701</v>
      </c>
      <c r="D39" s="16" t="s">
        <v>46</v>
      </c>
    </row>
    <row r="40" spans="1:4" ht="25.5">
      <c r="A40" s="13" t="s">
        <v>62</v>
      </c>
      <c r="B40" s="17" t="s">
        <v>39</v>
      </c>
      <c r="C40" s="73">
        <v>277</v>
      </c>
      <c r="D40" s="16" t="s">
        <v>53</v>
      </c>
    </row>
    <row r="41" spans="1:4" ht="12.75">
      <c r="A41" s="13" t="s">
        <v>63</v>
      </c>
      <c r="B41" s="17" t="s">
        <v>39</v>
      </c>
      <c r="C41" s="15"/>
      <c r="D41" s="16" t="s">
        <v>233</v>
      </c>
    </row>
    <row r="42" spans="1:4" ht="12.75">
      <c r="A42" s="13" t="s">
        <v>64</v>
      </c>
      <c r="B42" s="17" t="s">
        <v>39</v>
      </c>
      <c r="C42" s="15"/>
      <c r="D42" s="16" t="s">
        <v>233</v>
      </c>
    </row>
    <row r="43" spans="1:4" ht="12.75">
      <c r="A43" s="13" t="s">
        <v>65</v>
      </c>
      <c r="B43" s="17" t="s">
        <v>39</v>
      </c>
      <c r="C43" s="15"/>
      <c r="D43" s="16" t="s">
        <v>233</v>
      </c>
    </row>
    <row r="44" spans="1:4" ht="12.75">
      <c r="A44" s="13" t="s">
        <v>66</v>
      </c>
      <c r="B44" s="17" t="s">
        <v>67</v>
      </c>
      <c r="C44" s="15"/>
      <c r="D44" s="16" t="s">
        <v>233</v>
      </c>
    </row>
    <row r="45" spans="1:4" ht="25.5">
      <c r="A45" s="13" t="s">
        <v>68</v>
      </c>
      <c r="B45" s="17" t="s">
        <v>67</v>
      </c>
      <c r="C45" s="15"/>
      <c r="D45" s="16" t="s">
        <v>233</v>
      </c>
    </row>
    <row r="46" spans="1:4" ht="12.75">
      <c r="A46" s="13" t="s">
        <v>70</v>
      </c>
      <c r="B46" s="17" t="s">
        <v>39</v>
      </c>
      <c r="C46" s="15"/>
      <c r="D46" s="16" t="s">
        <v>233</v>
      </c>
    </row>
    <row r="47" spans="1:4" ht="12.75">
      <c r="A47" s="13" t="s">
        <v>72</v>
      </c>
      <c r="B47" s="17" t="s">
        <v>39</v>
      </c>
      <c r="C47" s="15"/>
      <c r="D47" s="16" t="s">
        <v>233</v>
      </c>
    </row>
    <row r="48" spans="1:4" ht="25.5">
      <c r="A48" s="13" t="s">
        <v>73</v>
      </c>
      <c r="B48" s="17" t="s">
        <v>67</v>
      </c>
      <c r="C48" s="15"/>
      <c r="D48" s="16" t="s">
        <v>233</v>
      </c>
    </row>
    <row r="49" spans="1:4" ht="12.75">
      <c r="A49" s="13" t="s">
        <v>74</v>
      </c>
      <c r="B49" s="17" t="s">
        <v>39</v>
      </c>
      <c r="C49" s="15">
        <v>851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25.5" customHeight="1">
      <c r="A55" s="13" t="s">
        <v>82</v>
      </c>
      <c r="B55" s="24" t="s">
        <v>79</v>
      </c>
      <c r="C55" s="24"/>
      <c r="D55" s="13" t="s">
        <v>83</v>
      </c>
    </row>
    <row r="56" spans="1:4" ht="25.5" customHeight="1">
      <c r="A56" s="13" t="s">
        <v>84</v>
      </c>
      <c r="B56" s="24" t="s">
        <v>79</v>
      </c>
      <c r="C56" s="24"/>
      <c r="D56" s="13" t="s">
        <v>83</v>
      </c>
    </row>
    <row r="57" spans="1:4" ht="26.25" customHeight="1">
      <c r="A57" s="13" t="s">
        <v>85</v>
      </c>
      <c r="B57" s="24" t="s">
        <v>79</v>
      </c>
      <c r="C57" s="24"/>
      <c r="D57" s="13" t="s">
        <v>86</v>
      </c>
    </row>
    <row r="58" spans="1:4" ht="27.75" customHeight="1">
      <c r="A58" s="13" t="s">
        <v>87</v>
      </c>
      <c r="B58" s="24" t="s">
        <v>79</v>
      </c>
      <c r="C58" s="24"/>
      <c r="D58" s="13" t="s">
        <v>88</v>
      </c>
    </row>
    <row r="59" spans="1:4" ht="25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5.5" customHeight="1">
      <c r="A61" s="13" t="s">
        <v>91</v>
      </c>
      <c r="B61" s="24" t="s">
        <v>79</v>
      </c>
      <c r="C61" s="24"/>
      <c r="D61" s="13" t="s">
        <v>92</v>
      </c>
    </row>
    <row r="62" spans="1:4" ht="25.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7.75" customHeight="1">
      <c r="A64" s="13" t="s">
        <v>96</v>
      </c>
      <c r="B64" s="24" t="s">
        <v>79</v>
      </c>
      <c r="C64" s="24"/>
      <c r="D64" s="13" t="s">
        <v>88</v>
      </c>
    </row>
    <row r="65" spans="1:4" ht="25.5" customHeight="1">
      <c r="A65" s="13" t="s">
        <v>97</v>
      </c>
      <c r="B65" s="24" t="s">
        <v>79</v>
      </c>
      <c r="C65" s="24"/>
      <c r="D65" s="13" t="s">
        <v>98</v>
      </c>
    </row>
    <row r="66" spans="1:4" ht="25.5" customHeight="1">
      <c r="A66" s="13" t="s">
        <v>99</v>
      </c>
      <c r="B66" s="24" t="s">
        <v>79</v>
      </c>
      <c r="C66" s="24"/>
      <c r="D66" s="13" t="s">
        <v>100</v>
      </c>
    </row>
    <row r="67" spans="1:4" ht="27.75" customHeight="1">
      <c r="A67" s="13" t="s">
        <v>101</v>
      </c>
      <c r="B67" s="24" t="s">
        <v>79</v>
      </c>
      <c r="C67" s="24"/>
      <c r="D67" s="13" t="s">
        <v>88</v>
      </c>
    </row>
    <row r="68" spans="1:4" ht="26.25" customHeight="1">
      <c r="A68" s="13" t="s">
        <v>102</v>
      </c>
      <c r="B68" s="24" t="s">
        <v>79</v>
      </c>
      <c r="C68" s="24"/>
      <c r="D68" s="13" t="s">
        <v>60</v>
      </c>
    </row>
    <row r="69" spans="1:4" ht="30" customHeight="1">
      <c r="A69" s="13" t="s">
        <v>103</v>
      </c>
      <c r="B69" s="24" t="s">
        <v>79</v>
      </c>
      <c r="C69" s="24"/>
      <c r="D69" s="13" t="s">
        <v>104</v>
      </c>
    </row>
    <row r="70" spans="1:4" ht="25.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.75" customHeight="1">
      <c r="A72" s="13" t="s">
        <v>89</v>
      </c>
      <c r="B72" s="24" t="s">
        <v>79</v>
      </c>
      <c r="C72" s="24"/>
      <c r="D72" s="13" t="s">
        <v>40</v>
      </c>
    </row>
    <row r="73" spans="1:4" ht="25.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4" ht="27.75" customHeight="1">
      <c r="A75" s="13" t="s">
        <v>111</v>
      </c>
      <c r="B75" s="14" t="s">
        <v>112</v>
      </c>
      <c r="C75" s="15">
        <f>187*1.15*12</f>
        <v>2580.6</v>
      </c>
      <c r="D75" s="32" t="s">
        <v>69</v>
      </c>
    </row>
    <row r="76" spans="1:4" ht="12.75">
      <c r="A76" s="13" t="s">
        <v>113</v>
      </c>
      <c r="B76" s="33" t="s">
        <v>112</v>
      </c>
      <c r="C76" s="15">
        <f>0.75*4*2*51</f>
        <v>306</v>
      </c>
      <c r="D76" s="32" t="s">
        <v>114</v>
      </c>
    </row>
    <row r="77" spans="1:4" ht="12.75">
      <c r="A77" s="13" t="s">
        <v>115</v>
      </c>
      <c r="B77" s="14" t="s">
        <v>67</v>
      </c>
      <c r="C77" s="15">
        <v>4</v>
      </c>
      <c r="D77" s="32" t="s">
        <v>116</v>
      </c>
    </row>
    <row r="78" spans="1:4" ht="12.75" customHeight="1">
      <c r="A78" s="28" t="s">
        <v>117</v>
      </c>
      <c r="B78" s="28"/>
      <c r="C78" s="29"/>
      <c r="D78" s="30"/>
    </row>
    <row r="79" spans="1:4" ht="12.75">
      <c r="A79" s="35" t="s">
        <v>235</v>
      </c>
      <c r="B79" s="36"/>
      <c r="C79" s="82"/>
      <c r="D79" s="38"/>
    </row>
    <row r="80" spans="1:4" ht="12.75">
      <c r="A80" s="39" t="s">
        <v>316</v>
      </c>
      <c r="B80" s="40" t="s">
        <v>67</v>
      </c>
      <c r="C80" s="40">
        <v>1</v>
      </c>
      <c r="D80" s="42"/>
    </row>
    <row r="81" spans="1:4" ht="12.75">
      <c r="A81" s="39" t="s">
        <v>317</v>
      </c>
      <c r="B81" s="40" t="s">
        <v>67</v>
      </c>
      <c r="C81" s="40">
        <f>1+1+1+2+2</f>
        <v>7</v>
      </c>
      <c r="D81" s="42"/>
    </row>
    <row r="82" spans="1:4" ht="12.75">
      <c r="A82" s="88" t="s">
        <v>237</v>
      </c>
      <c r="B82" s="40" t="s">
        <v>67</v>
      </c>
      <c r="C82" s="40">
        <f>2</f>
        <v>2</v>
      </c>
      <c r="D82" s="42"/>
    </row>
    <row r="83" spans="1:4" ht="12.75">
      <c r="A83" s="35" t="s">
        <v>126</v>
      </c>
      <c r="B83" s="36"/>
      <c r="C83" s="36"/>
      <c r="D83" s="45"/>
    </row>
    <row r="84" spans="1:4" ht="12.75">
      <c r="A84" s="43" t="s">
        <v>125</v>
      </c>
      <c r="B84" s="46" t="s">
        <v>67</v>
      </c>
      <c r="C84" s="41">
        <f>4</f>
        <v>4</v>
      </c>
      <c r="D84" s="42"/>
    </row>
    <row r="85" spans="1:4" ht="12.75">
      <c r="A85" s="43" t="s">
        <v>129</v>
      </c>
      <c r="B85" s="40" t="s">
        <v>67</v>
      </c>
      <c r="C85" s="41">
        <v>4</v>
      </c>
      <c r="D85" s="68" t="s">
        <v>130</v>
      </c>
    </row>
    <row r="86" spans="1:4" s="1" customFormat="1" ht="12.75">
      <c r="A86" s="43" t="s">
        <v>131</v>
      </c>
      <c r="B86" s="41" t="s">
        <v>67</v>
      </c>
      <c r="C86" s="41">
        <v>4</v>
      </c>
      <c r="D86" s="68" t="s">
        <v>130</v>
      </c>
    </row>
    <row r="87" spans="1:4" ht="12.75">
      <c r="A87" s="43" t="s">
        <v>266</v>
      </c>
      <c r="B87" s="46" t="s">
        <v>133</v>
      </c>
      <c r="C87" s="41">
        <v>2</v>
      </c>
      <c r="D87" s="42"/>
    </row>
    <row r="88" spans="1:4" ht="12.75">
      <c r="A88" s="43" t="s">
        <v>134</v>
      </c>
      <c r="B88" s="40" t="s">
        <v>39</v>
      </c>
      <c r="C88" s="41">
        <f>0.8+0.5+1.1+2.4+0.6</f>
        <v>5.4</v>
      </c>
      <c r="D88" s="42"/>
    </row>
    <row r="89" spans="1:4" ht="12.75">
      <c r="A89" s="43" t="s">
        <v>135</v>
      </c>
      <c r="B89" s="40" t="s">
        <v>67</v>
      </c>
      <c r="C89" s="41">
        <f>2</f>
        <v>2</v>
      </c>
      <c r="D89" s="42"/>
    </row>
    <row r="90" spans="1:4" ht="12.75">
      <c r="A90" s="88" t="s">
        <v>267</v>
      </c>
      <c r="B90" s="40" t="s">
        <v>122</v>
      </c>
      <c r="C90" s="41">
        <v>2</v>
      </c>
      <c r="D90" s="42"/>
    </row>
    <row r="91" spans="1:4" ht="12.75">
      <c r="A91" s="35" t="s">
        <v>238</v>
      </c>
      <c r="B91" s="36"/>
      <c r="C91" s="36"/>
      <c r="D91" s="45"/>
    </row>
    <row r="92" spans="1:4" ht="12.75">
      <c r="A92" s="43" t="s">
        <v>239</v>
      </c>
      <c r="B92" s="40" t="s">
        <v>133</v>
      </c>
      <c r="C92" s="41">
        <f>34.8+18</f>
        <v>52.8</v>
      </c>
      <c r="D92" s="42"/>
    </row>
    <row r="93" spans="1:4" ht="12.75">
      <c r="A93" s="35" t="s">
        <v>139</v>
      </c>
      <c r="B93" s="36"/>
      <c r="C93" s="36"/>
      <c r="D93" s="45"/>
    </row>
    <row r="94" spans="1:4" ht="12.75">
      <c r="A94" s="79" t="s">
        <v>191</v>
      </c>
      <c r="B94" s="40" t="s">
        <v>133</v>
      </c>
      <c r="C94" s="41">
        <v>24</v>
      </c>
      <c r="D94" s="42"/>
    </row>
    <row r="95" spans="1:4" ht="12.75">
      <c r="A95" s="35" t="s">
        <v>213</v>
      </c>
      <c r="B95" s="36"/>
      <c r="C95" s="36"/>
      <c r="D95" s="45"/>
    </row>
    <row r="96" spans="1:4" ht="12.75">
      <c r="A96" s="80" t="s">
        <v>241</v>
      </c>
      <c r="B96" s="41" t="s">
        <v>67</v>
      </c>
      <c r="C96" s="41">
        <f>1</f>
        <v>1</v>
      </c>
      <c r="D96" s="42"/>
    </row>
    <row r="97" spans="1:4" ht="12.75">
      <c r="A97" s="49" t="s">
        <v>141</v>
      </c>
      <c r="B97" s="36"/>
      <c r="C97" s="36"/>
      <c r="D97" s="45"/>
    </row>
    <row r="98" spans="1:4" ht="12.75">
      <c r="A98" s="52" t="s">
        <v>256</v>
      </c>
      <c r="B98" s="40" t="s">
        <v>133</v>
      </c>
      <c r="C98" s="41">
        <f>6.9+32</f>
        <v>38.9</v>
      </c>
      <c r="D98" s="42"/>
    </row>
    <row r="99" spans="1:4" ht="12.75">
      <c r="A99" s="51" t="s">
        <v>192</v>
      </c>
      <c r="B99" s="41" t="s">
        <v>67</v>
      </c>
      <c r="C99" s="41">
        <f>1</f>
        <v>1</v>
      </c>
      <c r="D99" s="42"/>
    </row>
    <row r="100" spans="1:4" ht="12.75">
      <c r="A100" s="51" t="s">
        <v>218</v>
      </c>
      <c r="B100" s="41" t="s">
        <v>39</v>
      </c>
      <c r="C100" s="41">
        <v>3.5</v>
      </c>
      <c r="D100" s="42"/>
    </row>
    <row r="101" spans="1:4" ht="12.75">
      <c r="A101" s="39" t="s">
        <v>220</v>
      </c>
      <c r="B101" s="41" t="s">
        <v>67</v>
      </c>
      <c r="C101" s="41">
        <f>1+1</f>
        <v>2</v>
      </c>
      <c r="D101" s="42"/>
    </row>
    <row r="102" spans="1:4" ht="12.75">
      <c r="A102" s="49" t="s">
        <v>145</v>
      </c>
      <c r="B102" s="36"/>
      <c r="C102" s="36"/>
      <c r="D102" s="45"/>
    </row>
    <row r="103" spans="1:4" ht="12.75">
      <c r="A103" s="52" t="s">
        <v>194</v>
      </c>
      <c r="B103" s="41" t="s">
        <v>133</v>
      </c>
      <c r="C103" s="40">
        <f>2.8</f>
        <v>2.8</v>
      </c>
      <c r="D103" s="42"/>
    </row>
    <row r="104" spans="1:4" ht="12.75">
      <c r="A104" s="52" t="s">
        <v>195</v>
      </c>
      <c r="B104" s="41" t="s">
        <v>112</v>
      </c>
      <c r="C104" s="40">
        <v>7</v>
      </c>
      <c r="D104" s="42"/>
    </row>
    <row r="105" spans="1:4" ht="12.75">
      <c r="A105" s="52" t="s">
        <v>243</v>
      </c>
      <c r="B105" s="41" t="s">
        <v>39</v>
      </c>
      <c r="C105" s="40">
        <v>60</v>
      </c>
      <c r="D105" s="42"/>
    </row>
    <row r="106" spans="1:4" ht="12.75">
      <c r="A106" s="52" t="s">
        <v>147</v>
      </c>
      <c r="B106" s="40" t="s">
        <v>67</v>
      </c>
      <c r="C106" s="40">
        <f>2+1+4</f>
        <v>7</v>
      </c>
      <c r="D106" s="42"/>
    </row>
    <row r="107" spans="1:4" ht="12.75">
      <c r="A107" s="52" t="s">
        <v>149</v>
      </c>
      <c r="B107" s="40" t="s">
        <v>67</v>
      </c>
      <c r="C107" s="40">
        <v>4</v>
      </c>
      <c r="D107" s="42"/>
    </row>
    <row r="108" spans="1:4" ht="12.75">
      <c r="A108" s="52" t="s">
        <v>196</v>
      </c>
      <c r="B108" s="41" t="s">
        <v>67</v>
      </c>
      <c r="C108" s="40">
        <f>8+5</f>
        <v>13</v>
      </c>
      <c r="D108" s="42"/>
    </row>
    <row r="109" spans="1:4" ht="12.75">
      <c r="A109" s="52" t="s">
        <v>151</v>
      </c>
      <c r="B109" s="41" t="s">
        <v>39</v>
      </c>
      <c r="C109" s="40">
        <f>565+265</f>
        <v>830</v>
      </c>
      <c r="D109" s="42"/>
    </row>
    <row r="110" spans="1:4" ht="12.75">
      <c r="A110" s="52" t="s">
        <v>197</v>
      </c>
      <c r="B110" s="41" t="s">
        <v>67</v>
      </c>
      <c r="C110" s="40">
        <v>2</v>
      </c>
      <c r="D110" s="42"/>
    </row>
    <row r="111" spans="1:4" ht="12.75">
      <c r="A111" s="52" t="s">
        <v>318</v>
      </c>
      <c r="B111" s="41" t="s">
        <v>67</v>
      </c>
      <c r="C111" s="40">
        <v>1</v>
      </c>
      <c r="D111" s="42"/>
    </row>
    <row r="112" spans="1:4" ht="12.75">
      <c r="A112" s="52" t="s">
        <v>154</v>
      </c>
      <c r="B112" s="41" t="s">
        <v>67</v>
      </c>
      <c r="C112" s="40">
        <f>2+1</f>
        <v>3</v>
      </c>
      <c r="D112" s="42"/>
    </row>
    <row r="113" spans="1:4" ht="12.75">
      <c r="A113" s="51" t="s">
        <v>319</v>
      </c>
      <c r="B113" s="40" t="s">
        <v>67</v>
      </c>
      <c r="C113" s="40">
        <v>1</v>
      </c>
      <c r="D113" s="42"/>
    </row>
    <row r="114" spans="1:4" ht="12.75">
      <c r="A114" s="49" t="s">
        <v>157</v>
      </c>
      <c r="B114" s="36"/>
      <c r="C114" s="36"/>
      <c r="D114" s="45"/>
    </row>
    <row r="115" spans="1:4" ht="12.75">
      <c r="A115" s="51" t="s">
        <v>158</v>
      </c>
      <c r="B115" s="40" t="s">
        <v>67</v>
      </c>
      <c r="C115" s="41">
        <f>1+1+1</f>
        <v>3</v>
      </c>
      <c r="D115" s="42"/>
    </row>
    <row r="116" spans="1:4" ht="12.75">
      <c r="A116" s="51" t="s">
        <v>203</v>
      </c>
      <c r="B116" s="40" t="s">
        <v>67</v>
      </c>
      <c r="C116" s="40">
        <v>2</v>
      </c>
      <c r="D116" s="42"/>
    </row>
    <row r="117" spans="1:4" s="1" customFormat="1" ht="12.75">
      <c r="A117" s="80" t="s">
        <v>202</v>
      </c>
      <c r="B117" s="41" t="s">
        <v>39</v>
      </c>
      <c r="C117" s="41">
        <v>499.5</v>
      </c>
      <c r="D117" s="44"/>
    </row>
    <row r="118" spans="1:4" s="1" customFormat="1" ht="12.75">
      <c r="A118" s="80" t="s">
        <v>303</v>
      </c>
      <c r="B118" s="41" t="s">
        <v>39</v>
      </c>
      <c r="C118" s="41">
        <v>24</v>
      </c>
      <c r="D118" s="44"/>
    </row>
    <row r="119" spans="1:4" ht="12.75">
      <c r="A119" s="51" t="s">
        <v>160</v>
      </c>
      <c r="B119" s="40" t="s">
        <v>67</v>
      </c>
      <c r="C119" s="40">
        <f>1+4</f>
        <v>5</v>
      </c>
      <c r="D119" s="42"/>
    </row>
    <row r="120" spans="1:4" ht="12.75">
      <c r="A120" s="35" t="s">
        <v>161</v>
      </c>
      <c r="B120" s="36"/>
      <c r="C120" s="60"/>
      <c r="D120" s="45"/>
    </row>
    <row r="121" spans="1:4" ht="12.75">
      <c r="A121" s="54" t="s">
        <v>162</v>
      </c>
      <c r="B121" s="55" t="s">
        <v>39</v>
      </c>
      <c r="C121" s="56">
        <v>851</v>
      </c>
      <c r="D121" s="68" t="s">
        <v>44</v>
      </c>
    </row>
    <row r="122" spans="1:4" ht="12.75">
      <c r="A122" s="54" t="s">
        <v>163</v>
      </c>
      <c r="B122" s="58" t="s">
        <v>39</v>
      </c>
      <c r="C122" s="56">
        <v>851</v>
      </c>
      <c r="D122" s="89" t="s">
        <v>164</v>
      </c>
    </row>
    <row r="123" spans="1:4" ht="12.75">
      <c r="A123" s="35" t="s">
        <v>165</v>
      </c>
      <c r="B123" s="36"/>
      <c r="C123" s="60"/>
      <c r="D123" s="45"/>
    </row>
    <row r="124" spans="1:4" ht="12.75">
      <c r="A124" s="54" t="s">
        <v>162</v>
      </c>
      <c r="B124" s="55" t="s">
        <v>39</v>
      </c>
      <c r="C124" s="56">
        <f>851+107.52</f>
        <v>958.52</v>
      </c>
      <c r="D124" s="68" t="s">
        <v>44</v>
      </c>
    </row>
    <row r="125" spans="1:4" ht="12.75">
      <c r="A125" s="54" t="s">
        <v>163</v>
      </c>
      <c r="B125" s="55" t="s">
        <v>39</v>
      </c>
      <c r="C125" s="56">
        <f>851+107.52</f>
        <v>958.52</v>
      </c>
      <c r="D125" s="89" t="s">
        <v>164</v>
      </c>
    </row>
    <row r="126" spans="1:4" ht="12.75">
      <c r="A126" s="35" t="s">
        <v>166</v>
      </c>
      <c r="B126" s="36"/>
      <c r="C126" s="60"/>
      <c r="D126" s="45"/>
    </row>
    <row r="127" spans="1:4" ht="12.75">
      <c r="A127" s="54" t="s">
        <v>162</v>
      </c>
      <c r="B127" s="55" t="s">
        <v>39</v>
      </c>
      <c r="C127" s="56">
        <f>851+276.6</f>
        <v>1127.6</v>
      </c>
      <c r="D127" s="47" t="s">
        <v>175</v>
      </c>
    </row>
    <row r="128" spans="1:4" ht="12.75">
      <c r="A128" s="54" t="s">
        <v>163</v>
      </c>
      <c r="B128" s="58" t="s">
        <v>39</v>
      </c>
      <c r="C128" s="56">
        <f>851+276.6</f>
        <v>1127.6</v>
      </c>
      <c r="D128" s="89" t="s">
        <v>164</v>
      </c>
    </row>
    <row r="130" ht="12.75">
      <c r="A130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D127"/>
  <sheetViews>
    <sheetView workbookViewId="0" topLeftCell="A100">
      <selection activeCell="A128" sqref="A128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320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321</v>
      </c>
    </row>
    <row r="8" spans="1:3" ht="12.75">
      <c r="A8" s="1" t="s">
        <v>7</v>
      </c>
      <c r="C8" s="4" t="s">
        <v>322</v>
      </c>
    </row>
    <row r="9" spans="1:3" ht="12.75">
      <c r="A9" s="1" t="s">
        <v>9</v>
      </c>
      <c r="C9" s="7" t="s">
        <v>323</v>
      </c>
    </row>
    <row r="10" ht="12.75">
      <c r="C10" s="7"/>
    </row>
    <row r="11" spans="1:3" ht="12.75">
      <c r="A11" s="1" t="s">
        <v>11</v>
      </c>
      <c r="C11" s="7" t="s">
        <v>324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83"/>
    </row>
    <row r="24" spans="1:3" ht="12.75">
      <c r="A24" s="1" t="s">
        <v>32</v>
      </c>
      <c r="C24" s="9">
        <v>0.885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325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325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1484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19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58.3</v>
      </c>
      <c r="D33" s="16" t="s">
        <v>48</v>
      </c>
    </row>
    <row r="34" spans="1:4" ht="25.5">
      <c r="A34" s="13" t="s">
        <v>49</v>
      </c>
      <c r="B34" s="17" t="s">
        <v>50</v>
      </c>
      <c r="C34" s="73">
        <v>325</v>
      </c>
      <c r="D34" s="16" t="s">
        <v>51</v>
      </c>
    </row>
    <row r="35" spans="1:4" ht="25.5">
      <c r="A35" s="13" t="s">
        <v>52</v>
      </c>
      <c r="B35" s="17" t="s">
        <v>39</v>
      </c>
      <c r="C35" s="15">
        <v>487</v>
      </c>
      <c r="D35" s="16" t="s">
        <v>53</v>
      </c>
    </row>
    <row r="36" spans="1:4" ht="12.75">
      <c r="A36" s="13" t="s">
        <v>54</v>
      </c>
      <c r="B36" s="17" t="s">
        <v>39</v>
      </c>
      <c r="C36" s="15"/>
      <c r="D36" s="16" t="s">
        <v>233</v>
      </c>
    </row>
    <row r="37" spans="1:4" ht="12.75">
      <c r="A37" s="13" t="s">
        <v>56</v>
      </c>
      <c r="B37" s="17" t="s">
        <v>39</v>
      </c>
      <c r="C37" s="15"/>
      <c r="D37" s="16" t="s">
        <v>233</v>
      </c>
    </row>
    <row r="38" spans="1:4" ht="25.5">
      <c r="A38" s="13" t="s">
        <v>59</v>
      </c>
      <c r="B38" s="17" t="s">
        <v>39</v>
      </c>
      <c r="C38" s="15"/>
      <c r="D38" s="16" t="s">
        <v>233</v>
      </c>
    </row>
    <row r="39" spans="1:4" ht="12.75">
      <c r="A39" s="13" t="s">
        <v>61</v>
      </c>
      <c r="B39" s="17" t="s">
        <v>39</v>
      </c>
      <c r="C39" s="15">
        <v>1760</v>
      </c>
      <c r="D39" s="16" t="s">
        <v>46</v>
      </c>
    </row>
    <row r="40" spans="1:4" ht="25.5">
      <c r="A40" s="13" t="s">
        <v>62</v>
      </c>
      <c r="B40" s="17" t="s">
        <v>39</v>
      </c>
      <c r="C40" s="73">
        <v>325</v>
      </c>
      <c r="D40" s="16" t="s">
        <v>53</v>
      </c>
    </row>
    <row r="41" spans="1:4" ht="12.75">
      <c r="A41" s="13" t="s">
        <v>63</v>
      </c>
      <c r="B41" s="17" t="s">
        <v>39</v>
      </c>
      <c r="C41" s="15"/>
      <c r="D41" s="16" t="s">
        <v>233</v>
      </c>
    </row>
    <row r="42" spans="1:4" ht="12.75">
      <c r="A42" s="13" t="s">
        <v>64</v>
      </c>
      <c r="B42" s="17" t="s">
        <v>39</v>
      </c>
      <c r="C42" s="15"/>
      <c r="D42" s="16" t="s">
        <v>233</v>
      </c>
    </row>
    <row r="43" spans="1:4" ht="12.75">
      <c r="A43" s="13" t="s">
        <v>65</v>
      </c>
      <c r="B43" s="17" t="s">
        <v>39</v>
      </c>
      <c r="C43" s="15"/>
      <c r="D43" s="16" t="s">
        <v>233</v>
      </c>
    </row>
    <row r="44" spans="1:4" ht="12.75">
      <c r="A44" s="13" t="s">
        <v>66</v>
      </c>
      <c r="B44" s="17" t="s">
        <v>67</v>
      </c>
      <c r="C44" s="15"/>
      <c r="D44" s="16" t="s">
        <v>233</v>
      </c>
    </row>
    <row r="45" spans="1:4" ht="25.5">
      <c r="A45" s="13" t="s">
        <v>68</v>
      </c>
      <c r="B45" s="17" t="s">
        <v>67</v>
      </c>
      <c r="C45" s="15"/>
      <c r="D45" s="16" t="s">
        <v>233</v>
      </c>
    </row>
    <row r="46" spans="1:4" ht="12.75">
      <c r="A46" s="13" t="s">
        <v>70</v>
      </c>
      <c r="B46" s="17" t="s">
        <v>39</v>
      </c>
      <c r="C46" s="15"/>
      <c r="D46" s="16" t="s">
        <v>233</v>
      </c>
    </row>
    <row r="47" spans="1:4" ht="12.75">
      <c r="A47" s="13" t="s">
        <v>72</v>
      </c>
      <c r="B47" s="17" t="s">
        <v>39</v>
      </c>
      <c r="C47" s="15"/>
      <c r="D47" s="16" t="s">
        <v>233</v>
      </c>
    </row>
    <row r="48" spans="1:4" ht="25.5">
      <c r="A48" s="13" t="s">
        <v>73</v>
      </c>
      <c r="B48" s="17" t="s">
        <v>67</v>
      </c>
      <c r="C48" s="15"/>
      <c r="D48" s="16" t="s">
        <v>233</v>
      </c>
    </row>
    <row r="49" spans="1:4" ht="12.75">
      <c r="A49" s="25" t="s">
        <v>74</v>
      </c>
      <c r="B49" s="108" t="s">
        <v>39</v>
      </c>
      <c r="C49" s="109">
        <v>855</v>
      </c>
      <c r="D49" s="110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11" t="s">
        <v>78</v>
      </c>
      <c r="B53" s="112" t="s">
        <v>79</v>
      </c>
      <c r="C53" s="112"/>
      <c r="D53" s="111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25.5" customHeight="1">
      <c r="A55" s="13" t="s">
        <v>82</v>
      </c>
      <c r="B55" s="24" t="s">
        <v>79</v>
      </c>
      <c r="C55" s="24"/>
      <c r="D55" s="13" t="s">
        <v>83</v>
      </c>
    </row>
    <row r="56" spans="1:4" ht="25.5" customHeight="1">
      <c r="A56" s="13" t="s">
        <v>84</v>
      </c>
      <c r="B56" s="24" t="s">
        <v>79</v>
      </c>
      <c r="C56" s="24"/>
      <c r="D56" s="13" t="s">
        <v>83</v>
      </c>
    </row>
    <row r="57" spans="1:4" ht="26.25" customHeight="1">
      <c r="A57" s="13" t="s">
        <v>85</v>
      </c>
      <c r="B57" s="24" t="s">
        <v>79</v>
      </c>
      <c r="C57" s="24"/>
      <c r="D57" s="13" t="s">
        <v>86</v>
      </c>
    </row>
    <row r="58" spans="1:4" ht="26.25" customHeight="1">
      <c r="A58" s="13" t="s">
        <v>87</v>
      </c>
      <c r="B58" s="24" t="s">
        <v>79</v>
      </c>
      <c r="C58" s="24"/>
      <c r="D58" s="13" t="s">
        <v>88</v>
      </c>
    </row>
    <row r="59" spans="1:4" ht="25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5.5" customHeight="1">
      <c r="A61" s="13" t="s">
        <v>91</v>
      </c>
      <c r="B61" s="24" t="s">
        <v>79</v>
      </c>
      <c r="C61" s="24"/>
      <c r="D61" s="13" t="s">
        <v>92</v>
      </c>
    </row>
    <row r="62" spans="1:4" ht="26.2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7.75" customHeight="1">
      <c r="A64" s="13" t="s">
        <v>96</v>
      </c>
      <c r="B64" s="24" t="s">
        <v>79</v>
      </c>
      <c r="C64" s="24"/>
      <c r="D64" s="13" t="s">
        <v>88</v>
      </c>
    </row>
    <row r="65" spans="1:4" ht="25.5" customHeight="1">
      <c r="A65" s="13" t="s">
        <v>97</v>
      </c>
      <c r="B65" s="24" t="s">
        <v>79</v>
      </c>
      <c r="C65" s="24"/>
      <c r="D65" s="13" t="s">
        <v>98</v>
      </c>
    </row>
    <row r="66" spans="1:4" ht="25.5" customHeight="1">
      <c r="A66" s="13" t="s">
        <v>99</v>
      </c>
      <c r="B66" s="24" t="s">
        <v>79</v>
      </c>
      <c r="C66" s="24"/>
      <c r="D66" s="13" t="s">
        <v>100</v>
      </c>
    </row>
    <row r="67" spans="1:4" ht="27.75" customHeight="1">
      <c r="A67" s="13" t="s">
        <v>101</v>
      </c>
      <c r="B67" s="24" t="s">
        <v>79</v>
      </c>
      <c r="C67" s="24"/>
      <c r="D67" s="13" t="s">
        <v>88</v>
      </c>
    </row>
    <row r="68" spans="1:4" ht="26.25" customHeight="1">
      <c r="A68" s="13" t="s">
        <v>102</v>
      </c>
      <c r="B68" s="24" t="s">
        <v>79</v>
      </c>
      <c r="C68" s="24"/>
      <c r="D68" s="13" t="s">
        <v>60</v>
      </c>
    </row>
    <row r="69" spans="1:4" ht="30" customHeight="1">
      <c r="A69" s="13" t="s">
        <v>103</v>
      </c>
      <c r="B69" s="24" t="s">
        <v>79</v>
      </c>
      <c r="C69" s="24"/>
      <c r="D69" s="13" t="s">
        <v>104</v>
      </c>
    </row>
    <row r="70" spans="1:4" ht="25.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.75" customHeight="1">
      <c r="A72" s="13" t="s">
        <v>89</v>
      </c>
      <c r="B72" s="24" t="s">
        <v>79</v>
      </c>
      <c r="C72" s="24"/>
      <c r="D72" s="13" t="s">
        <v>40</v>
      </c>
    </row>
    <row r="73" spans="1:4" ht="25.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4" ht="27.75" customHeight="1">
      <c r="A75" s="13" t="s">
        <v>111</v>
      </c>
      <c r="B75" s="14" t="s">
        <v>112</v>
      </c>
      <c r="C75" s="15">
        <f>208*1.15*12</f>
        <v>2870.3999999999996</v>
      </c>
      <c r="D75" s="74" t="s">
        <v>69</v>
      </c>
    </row>
    <row r="76" spans="1:4" ht="12.75">
      <c r="A76" s="13" t="s">
        <v>113</v>
      </c>
      <c r="B76" s="33" t="s">
        <v>112</v>
      </c>
      <c r="C76" s="15">
        <f>0.75*4*2*51</f>
        <v>306</v>
      </c>
      <c r="D76" s="74" t="s">
        <v>114</v>
      </c>
    </row>
    <row r="77" spans="1:4" ht="12.75">
      <c r="A77" s="13" t="s">
        <v>115</v>
      </c>
      <c r="B77" s="14" t="s">
        <v>67</v>
      </c>
      <c r="C77" s="15">
        <v>3</v>
      </c>
      <c r="D77" s="74" t="s">
        <v>116</v>
      </c>
    </row>
    <row r="78" spans="1:4" ht="12.75" customHeight="1">
      <c r="A78" s="28" t="s">
        <v>117</v>
      </c>
      <c r="B78" s="28"/>
      <c r="C78" s="29"/>
      <c r="D78" s="30"/>
    </row>
    <row r="79" spans="1:4" ht="12.75" customHeight="1">
      <c r="A79" s="35" t="s">
        <v>235</v>
      </c>
      <c r="B79" s="36"/>
      <c r="C79" s="82"/>
      <c r="D79" s="38"/>
    </row>
    <row r="80" spans="1:4" s="1" customFormat="1" ht="12.75" customHeight="1">
      <c r="A80" s="43" t="s">
        <v>252</v>
      </c>
      <c r="B80" s="41" t="s">
        <v>39</v>
      </c>
      <c r="C80" s="41">
        <v>1080</v>
      </c>
      <c r="D80" s="44"/>
    </row>
    <row r="81" spans="1:4" ht="12.75" customHeight="1">
      <c r="A81" s="39" t="s">
        <v>317</v>
      </c>
      <c r="B81" s="40" t="s">
        <v>67</v>
      </c>
      <c r="C81" s="41">
        <f>1+1+2</f>
        <v>4</v>
      </c>
      <c r="D81" s="42"/>
    </row>
    <row r="82" spans="1:4" ht="12.75" customHeight="1">
      <c r="A82" s="39" t="s">
        <v>253</v>
      </c>
      <c r="B82" s="40" t="s">
        <v>39</v>
      </c>
      <c r="C82" s="40">
        <v>3</v>
      </c>
      <c r="D82" s="42"/>
    </row>
    <row r="83" spans="1:4" ht="12.75" customHeight="1">
      <c r="A83" s="88" t="s">
        <v>325</v>
      </c>
      <c r="B83" s="40" t="s">
        <v>67</v>
      </c>
      <c r="C83" s="41">
        <v>5</v>
      </c>
      <c r="D83" s="42"/>
    </row>
    <row r="84" spans="1:4" ht="12.75" customHeight="1">
      <c r="A84" s="88" t="s">
        <v>237</v>
      </c>
      <c r="B84" s="40" t="s">
        <v>67</v>
      </c>
      <c r="C84" s="40">
        <f>2</f>
        <v>2</v>
      </c>
      <c r="D84" s="42"/>
    </row>
    <row r="85" spans="1:4" ht="12.75" customHeight="1">
      <c r="A85" s="35" t="s">
        <v>126</v>
      </c>
      <c r="B85" s="36"/>
      <c r="C85" s="36"/>
      <c r="D85" s="45"/>
    </row>
    <row r="86" spans="1:4" ht="12.75" customHeight="1">
      <c r="A86" s="43" t="s">
        <v>212</v>
      </c>
      <c r="B86" s="46" t="s">
        <v>67</v>
      </c>
      <c r="C86" s="41">
        <f>4+2+1</f>
        <v>7</v>
      </c>
      <c r="D86" s="42"/>
    </row>
    <row r="87" spans="1:4" s="1" customFormat="1" ht="12.75" customHeight="1">
      <c r="A87" s="43" t="s">
        <v>129</v>
      </c>
      <c r="B87" s="41" t="s">
        <v>67</v>
      </c>
      <c r="C87" s="41">
        <v>4</v>
      </c>
      <c r="D87" s="68" t="s">
        <v>130</v>
      </c>
    </row>
    <row r="88" spans="1:4" s="1" customFormat="1" ht="12.75" customHeight="1">
      <c r="A88" s="43" t="s">
        <v>131</v>
      </c>
      <c r="B88" s="41" t="s">
        <v>67</v>
      </c>
      <c r="C88" s="41">
        <v>4</v>
      </c>
      <c r="D88" s="68" t="s">
        <v>130</v>
      </c>
    </row>
    <row r="89" spans="1:4" ht="12.75" customHeight="1">
      <c r="A89" s="43" t="s">
        <v>132</v>
      </c>
      <c r="B89" s="40" t="s">
        <v>133</v>
      </c>
      <c r="C89" s="41">
        <v>6</v>
      </c>
      <c r="D89" s="42"/>
    </row>
    <row r="90" spans="1:4" ht="12.75" customHeight="1">
      <c r="A90" s="43" t="s">
        <v>134</v>
      </c>
      <c r="B90" s="40" t="s">
        <v>39</v>
      </c>
      <c r="C90" s="41">
        <f>0.7+4.1</f>
        <v>4.8</v>
      </c>
      <c r="D90" s="42"/>
    </row>
    <row r="91" spans="1:4" ht="12.75" customHeight="1">
      <c r="A91" s="35" t="s">
        <v>238</v>
      </c>
      <c r="B91" s="36"/>
      <c r="C91" s="36"/>
      <c r="D91" s="45"/>
    </row>
    <row r="92" spans="1:4" ht="12.75" customHeight="1">
      <c r="A92" s="43" t="s">
        <v>239</v>
      </c>
      <c r="B92" s="40" t="s">
        <v>133</v>
      </c>
      <c r="C92" s="40">
        <f>114.9+7</f>
        <v>121.9</v>
      </c>
      <c r="D92" s="42"/>
    </row>
    <row r="93" spans="1:4" ht="12.75" customHeight="1">
      <c r="A93" s="35" t="s">
        <v>139</v>
      </c>
      <c r="B93" s="36"/>
      <c r="C93" s="36"/>
      <c r="D93" s="45"/>
    </row>
    <row r="94" spans="1:4" ht="12.75" customHeight="1">
      <c r="A94" s="39" t="s">
        <v>140</v>
      </c>
      <c r="B94" s="40" t="s">
        <v>39</v>
      </c>
      <c r="C94" s="41">
        <v>9.8</v>
      </c>
      <c r="D94" s="42"/>
    </row>
    <row r="95" spans="1:4" ht="12.75" customHeight="1">
      <c r="A95" s="79" t="s">
        <v>326</v>
      </c>
      <c r="B95" s="40" t="s">
        <v>133</v>
      </c>
      <c r="C95" s="41">
        <v>70</v>
      </c>
      <c r="D95" s="42"/>
    </row>
    <row r="96" spans="1:4" ht="12.75" customHeight="1">
      <c r="A96" s="49" t="s">
        <v>141</v>
      </c>
      <c r="B96" s="36"/>
      <c r="C96" s="36"/>
      <c r="D96" s="45"/>
    </row>
    <row r="97" spans="1:4" ht="12.75" customHeight="1">
      <c r="A97" s="51" t="s">
        <v>216</v>
      </c>
      <c r="B97" s="41" t="s">
        <v>67</v>
      </c>
      <c r="C97" s="41">
        <v>1</v>
      </c>
      <c r="D97" s="42"/>
    </row>
    <row r="98" spans="1:4" ht="12.75" customHeight="1">
      <c r="A98" s="39" t="s">
        <v>220</v>
      </c>
      <c r="B98" s="41" t="s">
        <v>67</v>
      </c>
      <c r="C98" s="41">
        <f>1</f>
        <v>1</v>
      </c>
      <c r="D98" s="42"/>
    </row>
    <row r="99" spans="1:4" ht="12.75" customHeight="1">
      <c r="A99" s="51" t="s">
        <v>143</v>
      </c>
      <c r="B99" s="40" t="s">
        <v>67</v>
      </c>
      <c r="C99" s="41">
        <f>2</f>
        <v>2</v>
      </c>
      <c r="D99" s="42"/>
    </row>
    <row r="100" spans="1:4" ht="12.75" customHeight="1">
      <c r="A100" s="49" t="s">
        <v>145</v>
      </c>
      <c r="B100" s="36"/>
      <c r="C100" s="36"/>
      <c r="D100" s="45"/>
    </row>
    <row r="101" spans="1:4" ht="12.75" customHeight="1">
      <c r="A101" s="52" t="s">
        <v>194</v>
      </c>
      <c r="B101" s="41" t="s">
        <v>133</v>
      </c>
      <c r="C101" s="40">
        <f>2.8</f>
        <v>2.8</v>
      </c>
      <c r="D101" s="42"/>
    </row>
    <row r="102" spans="1:4" ht="12.75" customHeight="1">
      <c r="A102" s="52" t="s">
        <v>147</v>
      </c>
      <c r="B102" s="40" t="s">
        <v>67</v>
      </c>
      <c r="C102" s="40">
        <v>4</v>
      </c>
      <c r="D102" s="42"/>
    </row>
    <row r="103" spans="1:4" ht="12.75" customHeight="1">
      <c r="A103" s="52" t="s">
        <v>149</v>
      </c>
      <c r="B103" s="40" t="s">
        <v>67</v>
      </c>
      <c r="C103" s="40">
        <v>3</v>
      </c>
      <c r="D103" s="42"/>
    </row>
    <row r="104" spans="1:4" ht="12.75" customHeight="1">
      <c r="A104" s="52" t="s">
        <v>196</v>
      </c>
      <c r="B104" s="41" t="s">
        <v>67</v>
      </c>
      <c r="C104" s="40">
        <v>1</v>
      </c>
      <c r="D104" s="42"/>
    </row>
    <row r="105" spans="1:4" s="1" customFormat="1" ht="12.75" customHeight="1">
      <c r="A105" s="80" t="s">
        <v>151</v>
      </c>
      <c r="B105" s="41" t="s">
        <v>39</v>
      </c>
      <c r="C105" s="41">
        <v>360</v>
      </c>
      <c r="D105" s="68" t="s">
        <v>130</v>
      </c>
    </row>
    <row r="106" spans="1:4" ht="12.75" customHeight="1">
      <c r="A106" s="52" t="s">
        <v>154</v>
      </c>
      <c r="B106" s="41" t="s">
        <v>67</v>
      </c>
      <c r="C106" s="40">
        <v>3</v>
      </c>
      <c r="D106" s="42"/>
    </row>
    <row r="107" spans="1:4" ht="12.75" customHeight="1">
      <c r="A107" s="52" t="s">
        <v>199</v>
      </c>
      <c r="B107" s="41" t="s">
        <v>67</v>
      </c>
      <c r="C107" s="40">
        <f>1</f>
        <v>1</v>
      </c>
      <c r="D107" s="42"/>
    </row>
    <row r="108" spans="1:4" ht="12.75" customHeight="1">
      <c r="A108" s="51" t="s">
        <v>310</v>
      </c>
      <c r="B108" s="40" t="s">
        <v>67</v>
      </c>
      <c r="C108" s="40">
        <v>1</v>
      </c>
      <c r="D108" s="42"/>
    </row>
    <row r="109" spans="1:4" ht="12.75" customHeight="1">
      <c r="A109" s="51" t="s">
        <v>319</v>
      </c>
      <c r="B109" s="40" t="s">
        <v>67</v>
      </c>
      <c r="C109" s="40">
        <v>1</v>
      </c>
      <c r="D109" s="42"/>
    </row>
    <row r="110" spans="1:4" ht="12.75" customHeight="1">
      <c r="A110" s="49" t="s">
        <v>157</v>
      </c>
      <c r="B110" s="36"/>
      <c r="C110" s="36"/>
      <c r="D110" s="45"/>
    </row>
    <row r="111" spans="1:4" ht="12.75" customHeight="1">
      <c r="A111" s="51" t="s">
        <v>158</v>
      </c>
      <c r="B111" s="40" t="s">
        <v>67</v>
      </c>
      <c r="C111" s="41">
        <f>1+2</f>
        <v>3</v>
      </c>
      <c r="D111" s="42"/>
    </row>
    <row r="112" spans="1:4" s="1" customFormat="1" ht="12.75">
      <c r="A112" s="80" t="s">
        <v>202</v>
      </c>
      <c r="B112" s="41" t="s">
        <v>39</v>
      </c>
      <c r="C112" s="41">
        <v>499.5</v>
      </c>
      <c r="D112" s="44"/>
    </row>
    <row r="113" spans="1:4" s="1" customFormat="1" ht="12.75">
      <c r="A113" s="80" t="s">
        <v>303</v>
      </c>
      <c r="B113" s="41" t="s">
        <v>39</v>
      </c>
      <c r="C113" s="41">
        <v>24</v>
      </c>
      <c r="D113" s="44"/>
    </row>
    <row r="114" spans="1:4" ht="12.75" customHeight="1">
      <c r="A114" s="51" t="s">
        <v>203</v>
      </c>
      <c r="B114" s="40" t="s">
        <v>67</v>
      </c>
      <c r="C114" s="40">
        <v>2</v>
      </c>
      <c r="D114" s="42"/>
    </row>
    <row r="115" spans="1:4" ht="12.75" customHeight="1">
      <c r="A115" s="51" t="s">
        <v>159</v>
      </c>
      <c r="B115" s="40" t="s">
        <v>67</v>
      </c>
      <c r="C115" s="40">
        <f>4+4</f>
        <v>8</v>
      </c>
      <c r="D115" s="42"/>
    </row>
    <row r="116" spans="1:4" ht="12.75" customHeight="1">
      <c r="A116" s="51" t="s">
        <v>160</v>
      </c>
      <c r="B116" s="40" t="s">
        <v>67</v>
      </c>
      <c r="C116" s="40">
        <v>4</v>
      </c>
      <c r="D116" s="42"/>
    </row>
    <row r="117" spans="1:4" ht="12.75">
      <c r="A117" s="49" t="s">
        <v>161</v>
      </c>
      <c r="B117" s="36"/>
      <c r="C117" s="113"/>
      <c r="D117" s="62"/>
    </row>
    <row r="118" spans="1:4" ht="12.75">
      <c r="A118" s="54" t="s">
        <v>162</v>
      </c>
      <c r="B118" s="55" t="s">
        <v>39</v>
      </c>
      <c r="C118" s="56">
        <v>855</v>
      </c>
      <c r="D118" s="68" t="s">
        <v>44</v>
      </c>
    </row>
    <row r="119" spans="1:4" ht="12.75">
      <c r="A119" s="54" t="s">
        <v>163</v>
      </c>
      <c r="B119" s="58" t="s">
        <v>39</v>
      </c>
      <c r="C119" s="56">
        <v>855</v>
      </c>
      <c r="D119" s="89" t="s">
        <v>164</v>
      </c>
    </row>
    <row r="120" spans="1:4" ht="12.75">
      <c r="A120" s="49" t="s">
        <v>165</v>
      </c>
      <c r="B120" s="36"/>
      <c r="C120" s="60"/>
      <c r="D120" s="62"/>
    </row>
    <row r="121" spans="1:4" ht="12.75">
      <c r="A121" s="54" t="s">
        <v>162</v>
      </c>
      <c r="B121" s="55" t="s">
        <v>39</v>
      </c>
      <c r="C121" s="56">
        <f>855+107.52</f>
        <v>962.52</v>
      </c>
      <c r="D121" s="68" t="s">
        <v>44</v>
      </c>
    </row>
    <row r="122" spans="1:4" ht="12.75">
      <c r="A122" s="54" t="s">
        <v>163</v>
      </c>
      <c r="B122" s="55" t="s">
        <v>39</v>
      </c>
      <c r="C122" s="56">
        <f>855+107.52</f>
        <v>962.52</v>
      </c>
      <c r="D122" s="89" t="s">
        <v>164</v>
      </c>
    </row>
    <row r="123" spans="1:4" ht="12.75">
      <c r="A123" s="49" t="s">
        <v>166</v>
      </c>
      <c r="B123" s="36"/>
      <c r="C123" s="60"/>
      <c r="D123" s="62"/>
    </row>
    <row r="124" spans="1:4" ht="12.75">
      <c r="A124" s="54" t="s">
        <v>162</v>
      </c>
      <c r="B124" s="55" t="s">
        <v>39</v>
      </c>
      <c r="C124" s="56">
        <f>855+316.7</f>
        <v>1171.7</v>
      </c>
      <c r="D124" s="47" t="s">
        <v>175</v>
      </c>
    </row>
    <row r="125" spans="1:4" ht="12.75">
      <c r="A125" s="54" t="s">
        <v>163</v>
      </c>
      <c r="B125" s="58" t="s">
        <v>39</v>
      </c>
      <c r="C125" s="56">
        <f>855+316.7</f>
        <v>1171.7</v>
      </c>
      <c r="D125" s="89" t="s">
        <v>164</v>
      </c>
    </row>
    <row r="127" ht="12.75">
      <c r="A127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D124"/>
  <sheetViews>
    <sheetView workbookViewId="0" topLeftCell="A97">
      <selection activeCell="A126" sqref="A126"/>
    </sheetView>
  </sheetViews>
  <sheetFormatPr defaultColWidth="9.00390625" defaultRowHeight="12.75"/>
  <cols>
    <col min="1" max="1" width="48.625" style="1" customWidth="1"/>
    <col min="2" max="2" width="9.375" style="1" customWidth="1"/>
    <col min="3" max="3" width="13.375" style="1" customWidth="1"/>
    <col min="4" max="4" width="19.00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327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328</v>
      </c>
    </row>
    <row r="8" spans="1:3" ht="12.75">
      <c r="A8" s="1" t="s">
        <v>7</v>
      </c>
      <c r="C8" s="4" t="s">
        <v>329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" t="s">
        <v>330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s="1" t="s">
        <v>32</v>
      </c>
      <c r="C24" s="71">
        <v>0.8044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677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677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2353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10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29</v>
      </c>
      <c r="D33" s="16" t="s">
        <v>48</v>
      </c>
    </row>
    <row r="34" spans="1:4" ht="25.5">
      <c r="A34" s="13" t="s">
        <v>49</v>
      </c>
      <c r="B34" s="17" t="s">
        <v>50</v>
      </c>
      <c r="C34" s="15">
        <v>677</v>
      </c>
      <c r="D34" s="16" t="s">
        <v>51</v>
      </c>
    </row>
    <row r="35" spans="1:4" ht="25.5">
      <c r="A35" s="13" t="s">
        <v>52</v>
      </c>
      <c r="B35" s="17" t="s">
        <v>39</v>
      </c>
      <c r="C35" s="15">
        <v>1015</v>
      </c>
      <c r="D35" s="16" t="s">
        <v>53</v>
      </c>
    </row>
    <row r="36" spans="1:4" ht="12.75">
      <c r="A36" s="13" t="s">
        <v>54</v>
      </c>
      <c r="B36" s="17" t="s">
        <v>39</v>
      </c>
      <c r="C36" s="15"/>
      <c r="D36" s="16" t="s">
        <v>233</v>
      </c>
    </row>
    <row r="37" spans="1:4" ht="12.75">
      <c r="A37" s="13" t="s">
        <v>56</v>
      </c>
      <c r="B37" s="17" t="s">
        <v>39</v>
      </c>
      <c r="C37" s="15"/>
      <c r="D37" s="16" t="s">
        <v>233</v>
      </c>
    </row>
    <row r="38" spans="1:4" ht="25.5">
      <c r="A38" s="13" t="s">
        <v>59</v>
      </c>
      <c r="B38" s="17" t="s">
        <v>39</v>
      </c>
      <c r="C38" s="15"/>
      <c r="D38" s="16" t="s">
        <v>233</v>
      </c>
    </row>
    <row r="39" spans="1:4" ht="12.75">
      <c r="A39" s="13" t="s">
        <v>61</v>
      </c>
      <c r="B39" s="17" t="s">
        <v>39</v>
      </c>
      <c r="C39" s="15">
        <v>2031.2</v>
      </c>
      <c r="D39" s="16" t="s">
        <v>46</v>
      </c>
    </row>
    <row r="40" spans="1:4" ht="25.5">
      <c r="A40" s="13" t="s">
        <v>62</v>
      </c>
      <c r="B40" s="17" t="s">
        <v>39</v>
      </c>
      <c r="C40" s="73">
        <v>677</v>
      </c>
      <c r="D40" s="16" t="s">
        <v>53</v>
      </c>
    </row>
    <row r="41" spans="1:4" ht="12.75">
      <c r="A41" s="13" t="s">
        <v>63</v>
      </c>
      <c r="B41" s="17" t="s">
        <v>39</v>
      </c>
      <c r="C41" s="15"/>
      <c r="D41" s="16" t="s">
        <v>233</v>
      </c>
    </row>
    <row r="42" spans="1:4" ht="12.75">
      <c r="A42" s="13" t="s">
        <v>64</v>
      </c>
      <c r="B42" s="17" t="s">
        <v>39</v>
      </c>
      <c r="C42" s="15"/>
      <c r="D42" s="16" t="s">
        <v>233</v>
      </c>
    </row>
    <row r="43" spans="1:4" ht="12.75">
      <c r="A43" s="13" t="s">
        <v>65</v>
      </c>
      <c r="B43" s="17" t="s">
        <v>39</v>
      </c>
      <c r="C43" s="15"/>
      <c r="D43" s="16" t="s">
        <v>233</v>
      </c>
    </row>
    <row r="44" spans="1:4" ht="12.75">
      <c r="A44" s="13" t="s">
        <v>66</v>
      </c>
      <c r="B44" s="17" t="s">
        <v>67</v>
      </c>
      <c r="C44" s="15"/>
      <c r="D44" s="16" t="s">
        <v>233</v>
      </c>
    </row>
    <row r="45" spans="1:4" ht="25.5">
      <c r="A45" s="13" t="s">
        <v>68</v>
      </c>
      <c r="B45" s="17" t="s">
        <v>67</v>
      </c>
      <c r="C45" s="15"/>
      <c r="D45" s="16" t="s">
        <v>233</v>
      </c>
    </row>
    <row r="46" spans="1:4" ht="12.75">
      <c r="A46" s="13" t="s">
        <v>70</v>
      </c>
      <c r="B46" s="17" t="s">
        <v>39</v>
      </c>
      <c r="C46" s="15"/>
      <c r="D46" s="16" t="s">
        <v>233</v>
      </c>
    </row>
    <row r="47" spans="1:4" ht="12.75">
      <c r="A47" s="13" t="s">
        <v>72</v>
      </c>
      <c r="B47" s="17" t="s">
        <v>39</v>
      </c>
      <c r="C47" s="15"/>
      <c r="D47" s="16" t="s">
        <v>233</v>
      </c>
    </row>
    <row r="48" spans="1:4" ht="25.5">
      <c r="A48" s="13" t="s">
        <v>73</v>
      </c>
      <c r="B48" s="17" t="s">
        <v>67</v>
      </c>
      <c r="C48" s="15"/>
      <c r="D48" s="16" t="s">
        <v>233</v>
      </c>
    </row>
    <row r="49" spans="1:4" ht="12.75">
      <c r="A49" s="13" t="s">
        <v>74</v>
      </c>
      <c r="B49" s="17" t="s">
        <v>39</v>
      </c>
      <c r="C49" s="15">
        <v>963.8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25.5" customHeight="1">
      <c r="A55" s="13" t="s">
        <v>82</v>
      </c>
      <c r="B55" s="24" t="s">
        <v>79</v>
      </c>
      <c r="C55" s="24"/>
      <c r="D55" s="13" t="s">
        <v>83</v>
      </c>
    </row>
    <row r="56" spans="1:4" ht="25.5" customHeight="1">
      <c r="A56" s="13" t="s">
        <v>84</v>
      </c>
      <c r="B56" s="24" t="s">
        <v>79</v>
      </c>
      <c r="C56" s="24"/>
      <c r="D56" s="13" t="s">
        <v>83</v>
      </c>
    </row>
    <row r="57" spans="1:4" ht="24.75" customHeight="1">
      <c r="A57" s="13" t="s">
        <v>85</v>
      </c>
      <c r="B57" s="24" t="s">
        <v>79</v>
      </c>
      <c r="C57" s="24"/>
      <c r="D57" s="13" t="s">
        <v>86</v>
      </c>
    </row>
    <row r="58" spans="1:4" ht="36.75" customHeight="1">
      <c r="A58" s="13" t="s">
        <v>87</v>
      </c>
      <c r="B58" s="24" t="s">
        <v>79</v>
      </c>
      <c r="C58" s="24"/>
      <c r="D58" s="13" t="s">
        <v>88</v>
      </c>
    </row>
    <row r="59" spans="1:4" ht="25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5.5" customHeight="1">
      <c r="A61" s="13" t="s">
        <v>91</v>
      </c>
      <c r="B61" s="24" t="s">
        <v>79</v>
      </c>
      <c r="C61" s="24"/>
      <c r="D61" s="13" t="s">
        <v>92</v>
      </c>
    </row>
    <row r="62" spans="1:4" ht="36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36" customHeight="1">
      <c r="A64" s="13" t="s">
        <v>96</v>
      </c>
      <c r="B64" s="24" t="s">
        <v>79</v>
      </c>
      <c r="C64" s="24"/>
      <c r="D64" s="13" t="s">
        <v>88</v>
      </c>
    </row>
    <row r="65" spans="1:4" ht="25.5" customHeight="1">
      <c r="A65" s="13" t="s">
        <v>97</v>
      </c>
      <c r="B65" s="24" t="s">
        <v>79</v>
      </c>
      <c r="C65" s="24"/>
      <c r="D65" s="13" t="s">
        <v>98</v>
      </c>
    </row>
    <row r="66" spans="1:4" ht="25.5" customHeight="1">
      <c r="A66" s="13" t="s">
        <v>99</v>
      </c>
      <c r="B66" s="24" t="s">
        <v>79</v>
      </c>
      <c r="C66" s="24"/>
      <c r="D66" s="13" t="s">
        <v>100</v>
      </c>
    </row>
    <row r="67" spans="1:4" ht="36.75" customHeight="1">
      <c r="A67" s="13" t="s">
        <v>101</v>
      </c>
      <c r="B67" s="24" t="s">
        <v>79</v>
      </c>
      <c r="C67" s="24"/>
      <c r="D67" s="13" t="s">
        <v>88</v>
      </c>
    </row>
    <row r="68" spans="1:4" ht="26.25" customHeight="1">
      <c r="A68" s="13" t="s">
        <v>102</v>
      </c>
      <c r="B68" s="24" t="s">
        <v>79</v>
      </c>
      <c r="C68" s="24"/>
      <c r="D68" s="13" t="s">
        <v>60</v>
      </c>
    </row>
    <row r="69" spans="1:4" ht="30" customHeight="1">
      <c r="A69" s="13" t="s">
        <v>103</v>
      </c>
      <c r="B69" s="24" t="s">
        <v>79</v>
      </c>
      <c r="C69" s="24"/>
      <c r="D69" s="13" t="s">
        <v>104</v>
      </c>
    </row>
    <row r="70" spans="1:4" ht="25.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.75" customHeight="1">
      <c r="A72" s="13" t="s">
        <v>89</v>
      </c>
      <c r="B72" s="24" t="s">
        <v>79</v>
      </c>
      <c r="C72" s="24"/>
      <c r="D72" s="13" t="s">
        <v>40</v>
      </c>
    </row>
    <row r="73" spans="1:4" ht="25.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4" ht="27.75" customHeight="1">
      <c r="A75" s="13" t="s">
        <v>111</v>
      </c>
      <c r="B75" s="14" t="s">
        <v>112</v>
      </c>
      <c r="C75" s="15">
        <f>206*1.15*12</f>
        <v>2842.7999999999997</v>
      </c>
      <c r="D75" s="74" t="s">
        <v>69</v>
      </c>
    </row>
    <row r="76" spans="1:4" ht="12.75">
      <c r="A76" s="13" t="s">
        <v>113</v>
      </c>
      <c r="B76" s="33" t="s">
        <v>112</v>
      </c>
      <c r="C76" s="15">
        <f>0.75*2*2*51</f>
        <v>153</v>
      </c>
      <c r="D76" s="74" t="s">
        <v>114</v>
      </c>
    </row>
    <row r="77" spans="1:4" ht="12.75">
      <c r="A77" s="13" t="s">
        <v>115</v>
      </c>
      <c r="B77" s="14" t="s">
        <v>67</v>
      </c>
      <c r="C77" s="15">
        <v>5</v>
      </c>
      <c r="D77" s="74" t="s">
        <v>116</v>
      </c>
    </row>
    <row r="78" spans="1:4" ht="12.75" customHeight="1">
      <c r="A78" s="28" t="s">
        <v>117</v>
      </c>
      <c r="B78" s="28"/>
      <c r="C78" s="29"/>
      <c r="D78" s="30"/>
    </row>
    <row r="79" spans="1:4" ht="12.75">
      <c r="A79" s="35" t="s">
        <v>118</v>
      </c>
      <c r="B79" s="36"/>
      <c r="C79" s="37"/>
      <c r="D79" s="38"/>
    </row>
    <row r="80" spans="1:4" ht="12.75">
      <c r="A80" s="39" t="s">
        <v>121</v>
      </c>
      <c r="B80" s="40" t="s">
        <v>122</v>
      </c>
      <c r="C80" s="40">
        <f>2</f>
        <v>2</v>
      </c>
      <c r="D80" s="42"/>
    </row>
    <row r="81" spans="1:4" ht="12.75">
      <c r="A81" s="43" t="s">
        <v>237</v>
      </c>
      <c r="B81" s="41" t="s">
        <v>67</v>
      </c>
      <c r="C81" s="41">
        <f>1+1</f>
        <v>2</v>
      </c>
      <c r="D81" s="96"/>
    </row>
    <row r="82" spans="1:4" ht="12.75">
      <c r="A82" s="35" t="s">
        <v>126</v>
      </c>
      <c r="B82" s="36"/>
      <c r="C82" s="36"/>
      <c r="D82" s="45"/>
    </row>
    <row r="83" spans="1:4" ht="12.75">
      <c r="A83" s="43" t="s">
        <v>128</v>
      </c>
      <c r="B83" s="46" t="s">
        <v>67</v>
      </c>
      <c r="C83" s="41">
        <v>2</v>
      </c>
      <c r="D83" s="47" t="s">
        <v>130</v>
      </c>
    </row>
    <row r="84" spans="1:4" ht="12.75">
      <c r="A84" s="43" t="s">
        <v>129</v>
      </c>
      <c r="B84" s="40" t="s">
        <v>67</v>
      </c>
      <c r="C84" s="41">
        <v>2</v>
      </c>
      <c r="D84" s="47" t="s">
        <v>130</v>
      </c>
    </row>
    <row r="85" spans="1:4" ht="12.75">
      <c r="A85" s="43" t="s">
        <v>131</v>
      </c>
      <c r="B85" s="40" t="s">
        <v>67</v>
      </c>
      <c r="C85" s="41">
        <v>2</v>
      </c>
      <c r="D85" s="68" t="s">
        <v>186</v>
      </c>
    </row>
    <row r="86" spans="1:4" ht="12.75">
      <c r="A86" s="43" t="s">
        <v>134</v>
      </c>
      <c r="B86" s="40" t="s">
        <v>39</v>
      </c>
      <c r="C86" s="41">
        <v>2.4</v>
      </c>
      <c r="D86" s="42"/>
    </row>
    <row r="87" spans="1:4" ht="12.75">
      <c r="A87" s="35" t="s">
        <v>238</v>
      </c>
      <c r="B87" s="36"/>
      <c r="C87" s="36"/>
      <c r="D87" s="45"/>
    </row>
    <row r="88" spans="1:4" ht="12.75">
      <c r="A88" s="43" t="s">
        <v>239</v>
      </c>
      <c r="B88" s="40" t="s">
        <v>133</v>
      </c>
      <c r="C88" s="40">
        <f>68.3+68.3+18</f>
        <v>154.6</v>
      </c>
      <c r="D88" s="42"/>
    </row>
    <row r="89" spans="1:4" ht="12.75">
      <c r="A89" s="35" t="s">
        <v>139</v>
      </c>
      <c r="B89" s="36"/>
      <c r="C89" s="36"/>
      <c r="D89" s="45"/>
    </row>
    <row r="90" spans="1:4" ht="12.75">
      <c r="A90" s="39" t="s">
        <v>140</v>
      </c>
      <c r="B90" s="40" t="s">
        <v>39</v>
      </c>
      <c r="C90" s="41">
        <v>3.7</v>
      </c>
      <c r="D90" s="42"/>
    </row>
    <row r="91" spans="1:4" ht="12.75">
      <c r="A91" s="35" t="s">
        <v>213</v>
      </c>
      <c r="B91" s="36"/>
      <c r="C91" s="36"/>
      <c r="D91" s="45"/>
    </row>
    <row r="92" spans="1:4" s="1" customFormat="1" ht="12.75">
      <c r="A92" s="80" t="s">
        <v>241</v>
      </c>
      <c r="B92" s="41" t="s">
        <v>67</v>
      </c>
      <c r="C92" s="41">
        <v>2</v>
      </c>
      <c r="D92" s="68"/>
    </row>
    <row r="93" spans="1:4" ht="12.75">
      <c r="A93" s="49" t="s">
        <v>141</v>
      </c>
      <c r="B93" s="36"/>
      <c r="C93" s="36"/>
      <c r="D93" s="45"/>
    </row>
    <row r="94" spans="1:4" ht="12.75">
      <c r="A94" s="52" t="s">
        <v>256</v>
      </c>
      <c r="B94" s="40" t="s">
        <v>133</v>
      </c>
      <c r="C94" s="41">
        <v>15</v>
      </c>
      <c r="D94" s="42"/>
    </row>
    <row r="95" spans="1:4" ht="12.75">
      <c r="A95" s="51" t="s">
        <v>192</v>
      </c>
      <c r="B95" s="41" t="s">
        <v>67</v>
      </c>
      <c r="C95" s="41">
        <v>2</v>
      </c>
      <c r="D95" s="42"/>
    </row>
    <row r="96" spans="1:4" ht="12.75">
      <c r="A96" s="51" t="s">
        <v>217</v>
      </c>
      <c r="B96" s="41" t="s">
        <v>67</v>
      </c>
      <c r="C96" s="41">
        <v>2</v>
      </c>
      <c r="D96" s="42"/>
    </row>
    <row r="97" spans="1:4" s="1" customFormat="1" ht="12.75">
      <c r="A97" s="80" t="s">
        <v>242</v>
      </c>
      <c r="B97" s="41" t="s">
        <v>67</v>
      </c>
      <c r="C97" s="41">
        <v>2</v>
      </c>
      <c r="D97" s="68" t="s">
        <v>186</v>
      </c>
    </row>
    <row r="98" spans="1:4" ht="12.75">
      <c r="A98" s="51" t="s">
        <v>218</v>
      </c>
      <c r="B98" s="41" t="s">
        <v>39</v>
      </c>
      <c r="C98" s="41">
        <f>24.7</f>
        <v>24.7</v>
      </c>
      <c r="D98" s="42"/>
    </row>
    <row r="99" spans="1:4" ht="12.75">
      <c r="A99" s="51" t="s">
        <v>143</v>
      </c>
      <c r="B99" s="40" t="s">
        <v>67</v>
      </c>
      <c r="C99" s="41">
        <f>5</f>
        <v>5</v>
      </c>
      <c r="D99" s="42"/>
    </row>
    <row r="100" spans="1:4" ht="12.75">
      <c r="A100" s="49" t="s">
        <v>145</v>
      </c>
      <c r="B100" s="36"/>
      <c r="C100" s="36"/>
      <c r="D100" s="45"/>
    </row>
    <row r="101" spans="1:4" ht="12.75">
      <c r="A101" s="52" t="s">
        <v>194</v>
      </c>
      <c r="B101" s="41" t="s">
        <v>133</v>
      </c>
      <c r="C101" s="40">
        <f>2.8+15+5</f>
        <v>22.8</v>
      </c>
      <c r="D101" s="42"/>
    </row>
    <row r="102" spans="1:4" ht="12.75">
      <c r="A102" s="52" t="s">
        <v>148</v>
      </c>
      <c r="B102" s="40" t="s">
        <v>67</v>
      </c>
      <c r="C102" s="40">
        <v>2</v>
      </c>
      <c r="D102" s="42"/>
    </row>
    <row r="103" spans="1:4" ht="12.75">
      <c r="A103" s="52" t="s">
        <v>149</v>
      </c>
      <c r="B103" s="40" t="s">
        <v>67</v>
      </c>
      <c r="C103" s="40">
        <v>5</v>
      </c>
      <c r="D103" s="42"/>
    </row>
    <row r="104" spans="1:4" ht="12.75">
      <c r="A104" s="52" t="s">
        <v>196</v>
      </c>
      <c r="B104" s="41" t="s">
        <v>67</v>
      </c>
      <c r="C104" s="40">
        <v>2</v>
      </c>
      <c r="D104" s="42"/>
    </row>
    <row r="105" spans="1:4" s="1" customFormat="1" ht="12.75">
      <c r="A105" s="52" t="s">
        <v>151</v>
      </c>
      <c r="B105" s="41" t="s">
        <v>39</v>
      </c>
      <c r="C105" s="41">
        <v>1577</v>
      </c>
      <c r="D105" s="47" t="s">
        <v>130</v>
      </c>
    </row>
    <row r="106" spans="1:4" ht="12.75">
      <c r="A106" s="52" t="s">
        <v>197</v>
      </c>
      <c r="B106" s="41" t="s">
        <v>67</v>
      </c>
      <c r="C106" s="40">
        <v>4</v>
      </c>
      <c r="D106" s="42"/>
    </row>
    <row r="107" spans="1:4" ht="12.75">
      <c r="A107" s="52" t="s">
        <v>331</v>
      </c>
      <c r="B107" s="41" t="s">
        <v>67</v>
      </c>
      <c r="C107" s="40">
        <v>2</v>
      </c>
      <c r="D107" s="42"/>
    </row>
    <row r="108" spans="1:4" ht="12.75">
      <c r="A108" s="52" t="s">
        <v>199</v>
      </c>
      <c r="B108" s="41" t="s">
        <v>67</v>
      </c>
      <c r="C108" s="40">
        <f>1</f>
        <v>1</v>
      </c>
      <c r="D108" s="42"/>
    </row>
    <row r="109" spans="1:4" ht="12.75">
      <c r="A109" s="51" t="s">
        <v>310</v>
      </c>
      <c r="B109" s="40" t="s">
        <v>67</v>
      </c>
      <c r="C109" s="40">
        <v>1</v>
      </c>
      <c r="D109" s="42"/>
    </row>
    <row r="110" spans="1:4" ht="12.75">
      <c r="A110" s="51" t="s">
        <v>319</v>
      </c>
      <c r="B110" s="40" t="s">
        <v>67</v>
      </c>
      <c r="C110" s="40">
        <v>1</v>
      </c>
      <c r="D110" s="42"/>
    </row>
    <row r="111" spans="1:4" ht="12.75">
      <c r="A111" s="49" t="s">
        <v>157</v>
      </c>
      <c r="B111" s="36"/>
      <c r="C111" s="36"/>
      <c r="D111" s="45"/>
    </row>
    <row r="112" spans="1:4" ht="12.75">
      <c r="A112" s="51" t="s">
        <v>160</v>
      </c>
      <c r="B112" s="40" t="s">
        <v>67</v>
      </c>
      <c r="C112" s="40">
        <v>2</v>
      </c>
      <c r="D112" s="42"/>
    </row>
    <row r="113" spans="1:4" s="1" customFormat="1" ht="12.75">
      <c r="A113" s="80" t="s">
        <v>202</v>
      </c>
      <c r="B113" s="41" t="s">
        <v>39</v>
      </c>
      <c r="C113" s="41">
        <v>84</v>
      </c>
      <c r="D113" s="47" t="s">
        <v>130</v>
      </c>
    </row>
    <row r="114" spans="1:4" ht="12.75">
      <c r="A114" s="49" t="s">
        <v>161</v>
      </c>
      <c r="B114" s="36"/>
      <c r="C114" s="113"/>
      <c r="D114" s="62"/>
    </row>
    <row r="115" spans="1:4" ht="12.75">
      <c r="A115" s="54" t="s">
        <v>162</v>
      </c>
      <c r="B115" s="55" t="s">
        <v>39</v>
      </c>
      <c r="C115" s="56">
        <v>963.8</v>
      </c>
      <c r="D115" s="68" t="s">
        <v>44</v>
      </c>
    </row>
    <row r="116" spans="1:4" ht="12.75">
      <c r="A116" s="54" t="s">
        <v>163</v>
      </c>
      <c r="B116" s="58" t="s">
        <v>39</v>
      </c>
      <c r="C116" s="56">
        <v>963.8</v>
      </c>
      <c r="D116" s="89" t="s">
        <v>164</v>
      </c>
    </row>
    <row r="117" spans="1:4" ht="12.75">
      <c r="A117" s="49" t="s">
        <v>165</v>
      </c>
      <c r="B117" s="36"/>
      <c r="C117" s="60"/>
      <c r="D117" s="62"/>
    </row>
    <row r="118" spans="1:4" ht="12.75">
      <c r="A118" s="54" t="s">
        <v>162</v>
      </c>
      <c r="B118" s="55" t="s">
        <v>39</v>
      </c>
      <c r="C118" s="56">
        <f>963.8+53.76</f>
        <v>1017.56</v>
      </c>
      <c r="D118" s="68" t="s">
        <v>44</v>
      </c>
    </row>
    <row r="119" spans="1:4" ht="12.75">
      <c r="A119" s="54" t="s">
        <v>163</v>
      </c>
      <c r="B119" s="55" t="s">
        <v>39</v>
      </c>
      <c r="C119" s="56">
        <f>963.8+53.76</f>
        <v>1017.56</v>
      </c>
      <c r="D119" s="89" t="s">
        <v>164</v>
      </c>
    </row>
    <row r="120" spans="1:4" ht="12.75">
      <c r="A120" s="49" t="s">
        <v>166</v>
      </c>
      <c r="B120" s="36"/>
      <c r="C120" s="60"/>
      <c r="D120" s="62"/>
    </row>
    <row r="121" spans="1:4" ht="12.75">
      <c r="A121" s="54" t="s">
        <v>162</v>
      </c>
      <c r="B121" s="55" t="s">
        <v>39</v>
      </c>
      <c r="C121" s="56">
        <f>963.8+146.6+343.8</f>
        <v>1454.1999999999998</v>
      </c>
      <c r="D121" s="47" t="s">
        <v>175</v>
      </c>
    </row>
    <row r="122" spans="1:4" ht="12.75">
      <c r="A122" s="54" t="s">
        <v>163</v>
      </c>
      <c r="B122" s="58" t="s">
        <v>39</v>
      </c>
      <c r="C122" s="56">
        <f>963.8+146.6+343.8</f>
        <v>1454.1999999999998</v>
      </c>
      <c r="D122" s="89" t="s">
        <v>164</v>
      </c>
    </row>
    <row r="124" ht="12.75">
      <c r="A124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5513888888888889" right="0.74791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D121"/>
  <sheetViews>
    <sheetView workbookViewId="0" topLeftCell="A100">
      <selection activeCell="A123" sqref="A123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332</v>
      </c>
      <c r="B4" s="3"/>
      <c r="C4" s="3"/>
    </row>
    <row r="5" spans="1:3" ht="18.75" customHeight="1">
      <c r="A5" s="2" t="s">
        <v>333</v>
      </c>
      <c r="B5" s="2"/>
      <c r="C5" s="2"/>
    </row>
    <row r="7" spans="1:3" ht="12.75">
      <c r="A7" s="1" t="s">
        <v>5</v>
      </c>
      <c r="C7" s="4" t="s">
        <v>334</v>
      </c>
    </row>
    <row r="8" spans="1:3" ht="12.75">
      <c r="A8" s="1" t="s">
        <v>7</v>
      </c>
      <c r="C8" s="4" t="s">
        <v>335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" t="s">
        <v>336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83"/>
    </row>
    <row r="24" spans="1:3" ht="12.75">
      <c r="A24" s="1" t="s">
        <v>32</v>
      </c>
      <c r="C24" s="71">
        <v>0.8582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677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677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2378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10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29</v>
      </c>
      <c r="D33" s="16" t="s">
        <v>48</v>
      </c>
    </row>
    <row r="34" spans="1:4" ht="25.5">
      <c r="A34" s="13" t="s">
        <v>49</v>
      </c>
      <c r="B34" s="17" t="s">
        <v>50</v>
      </c>
      <c r="C34" s="73">
        <v>677</v>
      </c>
      <c r="D34" s="16" t="s">
        <v>51</v>
      </c>
    </row>
    <row r="35" spans="1:4" ht="25.5">
      <c r="A35" s="13" t="s">
        <v>52</v>
      </c>
      <c r="B35" s="17" t="s">
        <v>39</v>
      </c>
      <c r="C35" s="15">
        <v>841</v>
      </c>
      <c r="D35" s="16" t="s">
        <v>53</v>
      </c>
    </row>
    <row r="36" spans="1:4" ht="12.75">
      <c r="A36" s="13" t="s">
        <v>54</v>
      </c>
      <c r="B36" s="17" t="s">
        <v>39</v>
      </c>
      <c r="C36" s="15"/>
      <c r="D36" s="16" t="s">
        <v>233</v>
      </c>
    </row>
    <row r="37" spans="1:4" ht="12.75">
      <c r="A37" s="13" t="s">
        <v>56</v>
      </c>
      <c r="B37" s="17" t="s">
        <v>39</v>
      </c>
      <c r="C37" s="15"/>
      <c r="D37" s="16" t="s">
        <v>233</v>
      </c>
    </row>
    <row r="38" spans="1:4" ht="25.5">
      <c r="A38" s="13" t="s">
        <v>59</v>
      </c>
      <c r="B38" s="17" t="s">
        <v>39</v>
      </c>
      <c r="C38" s="15"/>
      <c r="D38" s="16" t="s">
        <v>233</v>
      </c>
    </row>
    <row r="39" spans="1:4" ht="12.75">
      <c r="A39" s="13" t="s">
        <v>61</v>
      </c>
      <c r="B39" s="17" t="s">
        <v>39</v>
      </c>
      <c r="C39" s="15">
        <v>2020.5</v>
      </c>
      <c r="D39" s="16" t="s">
        <v>46</v>
      </c>
    </row>
    <row r="40" spans="1:4" ht="25.5">
      <c r="A40" s="13" t="s">
        <v>62</v>
      </c>
      <c r="B40" s="17" t="s">
        <v>39</v>
      </c>
      <c r="C40" s="73">
        <v>677</v>
      </c>
      <c r="D40" s="16" t="s">
        <v>53</v>
      </c>
    </row>
    <row r="41" spans="1:4" ht="12.75">
      <c r="A41" s="13" t="s">
        <v>63</v>
      </c>
      <c r="B41" s="17" t="s">
        <v>39</v>
      </c>
      <c r="C41" s="15"/>
      <c r="D41" s="16" t="s">
        <v>233</v>
      </c>
    </row>
    <row r="42" spans="1:4" ht="12.75">
      <c r="A42" s="13" t="s">
        <v>64</v>
      </c>
      <c r="B42" s="17" t="s">
        <v>39</v>
      </c>
      <c r="C42" s="15"/>
      <c r="D42" s="16" t="s">
        <v>233</v>
      </c>
    </row>
    <row r="43" spans="1:4" ht="12.75">
      <c r="A43" s="13" t="s">
        <v>65</v>
      </c>
      <c r="B43" s="17" t="s">
        <v>39</v>
      </c>
      <c r="C43" s="15"/>
      <c r="D43" s="16" t="s">
        <v>233</v>
      </c>
    </row>
    <row r="44" spans="1:4" ht="12.75">
      <c r="A44" s="13" t="s">
        <v>66</v>
      </c>
      <c r="B44" s="17" t="s">
        <v>67</v>
      </c>
      <c r="C44" s="15"/>
      <c r="D44" s="16" t="s">
        <v>233</v>
      </c>
    </row>
    <row r="45" spans="1:4" ht="25.5">
      <c r="A45" s="13" t="s">
        <v>68</v>
      </c>
      <c r="B45" s="17" t="s">
        <v>67</v>
      </c>
      <c r="C45" s="15"/>
      <c r="D45" s="16" t="s">
        <v>233</v>
      </c>
    </row>
    <row r="46" spans="1:4" ht="12.75">
      <c r="A46" s="13" t="s">
        <v>70</v>
      </c>
      <c r="B46" s="17" t="s">
        <v>39</v>
      </c>
      <c r="C46" s="15"/>
      <c r="D46" s="16" t="s">
        <v>233</v>
      </c>
    </row>
    <row r="47" spans="1:4" ht="12.75">
      <c r="A47" s="13" t="s">
        <v>72</v>
      </c>
      <c r="B47" s="17" t="s">
        <v>39</v>
      </c>
      <c r="C47" s="15"/>
      <c r="D47" s="16" t="s">
        <v>233</v>
      </c>
    </row>
    <row r="48" spans="1:4" ht="25.5">
      <c r="A48" s="13" t="s">
        <v>73</v>
      </c>
      <c r="B48" s="17" t="s">
        <v>67</v>
      </c>
      <c r="C48" s="15"/>
      <c r="D48" s="16" t="s">
        <v>233</v>
      </c>
    </row>
    <row r="49" spans="1:4" ht="12.75">
      <c r="A49" s="13" t="s">
        <v>74</v>
      </c>
      <c r="B49" s="17" t="s">
        <v>39</v>
      </c>
      <c r="C49" s="15">
        <v>920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25.5" customHeight="1">
      <c r="A55" s="13" t="s">
        <v>82</v>
      </c>
      <c r="B55" s="24" t="s">
        <v>79</v>
      </c>
      <c r="C55" s="24"/>
      <c r="D55" s="13" t="s">
        <v>83</v>
      </c>
    </row>
    <row r="56" spans="1:4" ht="25.5" customHeight="1">
      <c r="A56" s="13" t="s">
        <v>84</v>
      </c>
      <c r="B56" s="24" t="s">
        <v>79</v>
      </c>
      <c r="C56" s="24"/>
      <c r="D56" s="13" t="s">
        <v>83</v>
      </c>
    </row>
    <row r="57" spans="1:4" ht="26.25" customHeight="1">
      <c r="A57" s="13" t="s">
        <v>85</v>
      </c>
      <c r="B57" s="24" t="s">
        <v>79</v>
      </c>
      <c r="C57" s="24"/>
      <c r="D57" s="13" t="s">
        <v>86</v>
      </c>
    </row>
    <row r="58" spans="1:4" ht="28.5" customHeight="1">
      <c r="A58" s="13" t="s">
        <v>87</v>
      </c>
      <c r="B58" s="24" t="s">
        <v>79</v>
      </c>
      <c r="C58" s="24"/>
      <c r="D58" s="13" t="s">
        <v>88</v>
      </c>
    </row>
    <row r="59" spans="1:4" ht="25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5.5" customHeight="1">
      <c r="A61" s="13" t="s">
        <v>91</v>
      </c>
      <c r="B61" s="24" t="s">
        <v>79</v>
      </c>
      <c r="C61" s="24"/>
      <c r="D61" s="13" t="s">
        <v>92</v>
      </c>
    </row>
    <row r="62" spans="1:4" ht="26.2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7.75" customHeight="1">
      <c r="A64" s="13" t="s">
        <v>96</v>
      </c>
      <c r="B64" s="24" t="s">
        <v>79</v>
      </c>
      <c r="C64" s="24"/>
      <c r="D64" s="13" t="s">
        <v>88</v>
      </c>
    </row>
    <row r="65" spans="1:4" ht="25.5" customHeight="1">
      <c r="A65" s="13" t="s">
        <v>97</v>
      </c>
      <c r="B65" s="24" t="s">
        <v>79</v>
      </c>
      <c r="C65" s="24"/>
      <c r="D65" s="13" t="s">
        <v>98</v>
      </c>
    </row>
    <row r="66" spans="1:4" ht="25.5" customHeight="1">
      <c r="A66" s="13" t="s">
        <v>99</v>
      </c>
      <c r="B66" s="24" t="s">
        <v>79</v>
      </c>
      <c r="C66" s="24"/>
      <c r="D66" s="13" t="s">
        <v>100</v>
      </c>
    </row>
    <row r="67" spans="1:4" ht="27.75" customHeight="1">
      <c r="A67" s="13" t="s">
        <v>101</v>
      </c>
      <c r="B67" s="24" t="s">
        <v>79</v>
      </c>
      <c r="C67" s="24"/>
      <c r="D67" s="13" t="s">
        <v>88</v>
      </c>
    </row>
    <row r="68" spans="1:4" ht="26.25" customHeight="1">
      <c r="A68" s="13" t="s">
        <v>102</v>
      </c>
      <c r="B68" s="24" t="s">
        <v>79</v>
      </c>
      <c r="C68" s="24"/>
      <c r="D68" s="13" t="s">
        <v>60</v>
      </c>
    </row>
    <row r="69" spans="1:4" ht="30" customHeight="1">
      <c r="A69" s="13" t="s">
        <v>103</v>
      </c>
      <c r="B69" s="24" t="s">
        <v>79</v>
      </c>
      <c r="C69" s="24"/>
      <c r="D69" s="13" t="s">
        <v>104</v>
      </c>
    </row>
    <row r="70" spans="1:4" ht="25.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.75" customHeight="1">
      <c r="A72" s="13" t="s">
        <v>89</v>
      </c>
      <c r="B72" s="24" t="s">
        <v>79</v>
      </c>
      <c r="C72" s="24"/>
      <c r="D72" s="13" t="s">
        <v>40</v>
      </c>
    </row>
    <row r="73" spans="1:4" ht="25.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4" ht="27.75" customHeight="1">
      <c r="A75" s="13" t="s">
        <v>111</v>
      </c>
      <c r="B75" s="14" t="s">
        <v>112</v>
      </c>
      <c r="C75" s="15">
        <f>220*1.15*12</f>
        <v>3035.9999999999995</v>
      </c>
      <c r="D75" s="74" t="s">
        <v>69</v>
      </c>
    </row>
    <row r="76" spans="1:4" ht="12.75">
      <c r="A76" s="13" t="s">
        <v>113</v>
      </c>
      <c r="B76" s="33" t="s">
        <v>112</v>
      </c>
      <c r="C76" s="15">
        <f>0.75*2*2*51</f>
        <v>153</v>
      </c>
      <c r="D76" s="74" t="s">
        <v>114</v>
      </c>
    </row>
    <row r="77" spans="1:4" ht="25.5">
      <c r="A77" s="13" t="s">
        <v>115</v>
      </c>
      <c r="B77" s="14" t="s">
        <v>67</v>
      </c>
      <c r="C77" s="15">
        <v>4</v>
      </c>
      <c r="D77" s="74" t="s">
        <v>116</v>
      </c>
    </row>
    <row r="78" spans="1:4" ht="12.75" customHeight="1">
      <c r="A78" s="28" t="s">
        <v>117</v>
      </c>
      <c r="B78" s="28"/>
      <c r="C78" s="29"/>
      <c r="D78" s="30"/>
    </row>
    <row r="79" spans="1:4" ht="12.75">
      <c r="A79" s="35" t="s">
        <v>118</v>
      </c>
      <c r="B79" s="36"/>
      <c r="C79" s="37"/>
      <c r="D79" s="38"/>
    </row>
    <row r="80" spans="1:4" s="114" customFormat="1" ht="12.75">
      <c r="A80" s="43" t="s">
        <v>288</v>
      </c>
      <c r="B80" s="41" t="s">
        <v>39</v>
      </c>
      <c r="C80" s="64">
        <v>12</v>
      </c>
      <c r="D80" s="44"/>
    </row>
    <row r="81" spans="1:4" ht="12.75">
      <c r="A81" s="88" t="s">
        <v>237</v>
      </c>
      <c r="B81" s="40" t="s">
        <v>67</v>
      </c>
      <c r="C81" s="40">
        <f>1+1</f>
        <v>2</v>
      </c>
      <c r="D81" s="81"/>
    </row>
    <row r="82" spans="1:4" ht="12.75">
      <c r="A82" s="35" t="s">
        <v>126</v>
      </c>
      <c r="B82" s="36"/>
      <c r="C82" s="36"/>
      <c r="D82" s="115"/>
    </row>
    <row r="83" spans="1:4" ht="12.75">
      <c r="A83" s="43" t="s">
        <v>212</v>
      </c>
      <c r="B83" s="46" t="s">
        <v>67</v>
      </c>
      <c r="C83" s="40">
        <v>2</v>
      </c>
      <c r="D83" s="68" t="s">
        <v>186</v>
      </c>
    </row>
    <row r="84" spans="1:4" ht="12.75">
      <c r="A84" s="43" t="s">
        <v>129</v>
      </c>
      <c r="B84" s="40" t="s">
        <v>67</v>
      </c>
      <c r="C84" s="41">
        <v>2</v>
      </c>
      <c r="D84" s="68" t="s">
        <v>130</v>
      </c>
    </row>
    <row r="85" spans="1:4" s="1" customFormat="1" ht="12.75">
      <c r="A85" s="43" t="s">
        <v>131</v>
      </c>
      <c r="B85" s="41" t="s">
        <v>67</v>
      </c>
      <c r="C85" s="41">
        <v>2</v>
      </c>
      <c r="D85" s="68" t="s">
        <v>337</v>
      </c>
    </row>
    <row r="86" spans="1:4" ht="12.75">
      <c r="A86" s="43" t="s">
        <v>134</v>
      </c>
      <c r="B86" s="40" t="s">
        <v>39</v>
      </c>
      <c r="C86" s="41">
        <f>0.3+0.72+1.38+0.5</f>
        <v>2.9</v>
      </c>
      <c r="D86" s="81"/>
    </row>
    <row r="87" spans="1:4" ht="12.75">
      <c r="A87" s="43" t="s">
        <v>277</v>
      </c>
      <c r="B87" s="40" t="s">
        <v>67</v>
      </c>
      <c r="C87" s="41">
        <f>4+1</f>
        <v>5</v>
      </c>
      <c r="D87" s="81"/>
    </row>
    <row r="88" spans="1:4" ht="12.75">
      <c r="A88" s="35" t="s">
        <v>238</v>
      </c>
      <c r="B88" s="36"/>
      <c r="C88" s="36"/>
      <c r="D88" s="115"/>
    </row>
    <row r="89" spans="1:4" ht="12.75">
      <c r="A89" s="43" t="s">
        <v>239</v>
      </c>
      <c r="B89" s="40" t="s">
        <v>133</v>
      </c>
      <c r="C89" s="40">
        <f>64.2+12</f>
        <v>76.2</v>
      </c>
      <c r="D89" s="81"/>
    </row>
    <row r="90" spans="1:4" ht="12.75">
      <c r="A90" s="35" t="s">
        <v>139</v>
      </c>
      <c r="B90" s="36"/>
      <c r="C90" s="36"/>
      <c r="D90" s="115"/>
    </row>
    <row r="91" spans="1:4" ht="12.75">
      <c r="A91" s="39" t="s">
        <v>140</v>
      </c>
      <c r="B91" s="40" t="s">
        <v>39</v>
      </c>
      <c r="C91" s="40">
        <v>6</v>
      </c>
      <c r="D91" s="81"/>
    </row>
    <row r="92" spans="1:4" ht="12.75">
      <c r="A92" s="49" t="s">
        <v>141</v>
      </c>
      <c r="B92" s="36"/>
      <c r="C92" s="36"/>
      <c r="D92" s="115"/>
    </row>
    <row r="93" spans="1:4" ht="12.75">
      <c r="A93" s="52" t="s">
        <v>278</v>
      </c>
      <c r="B93" s="84" t="s">
        <v>39</v>
      </c>
      <c r="C93" s="41">
        <v>2</v>
      </c>
      <c r="D93" s="81"/>
    </row>
    <row r="94" spans="1:4" ht="12.75">
      <c r="A94" s="51" t="s">
        <v>192</v>
      </c>
      <c r="B94" s="41" t="s">
        <v>67</v>
      </c>
      <c r="C94" s="41">
        <f>1+1</f>
        <v>2</v>
      </c>
      <c r="D94" s="81"/>
    </row>
    <row r="95" spans="1:4" ht="12.75">
      <c r="A95" s="51" t="s">
        <v>142</v>
      </c>
      <c r="B95" s="41" t="s">
        <v>67</v>
      </c>
      <c r="C95" s="41">
        <f>1</f>
        <v>1</v>
      </c>
      <c r="D95" s="81"/>
    </row>
    <row r="96" spans="1:4" ht="12.75">
      <c r="A96" s="51" t="s">
        <v>218</v>
      </c>
      <c r="B96" s="41" t="s">
        <v>39</v>
      </c>
      <c r="C96" s="41">
        <v>2</v>
      </c>
      <c r="D96" s="81"/>
    </row>
    <row r="97" spans="1:4" ht="12.75">
      <c r="A97" s="39" t="s">
        <v>220</v>
      </c>
      <c r="B97" s="41" t="s">
        <v>67</v>
      </c>
      <c r="C97" s="41">
        <f>1</f>
        <v>1</v>
      </c>
      <c r="D97" s="81"/>
    </row>
    <row r="98" spans="1:4" ht="12.75">
      <c r="A98" s="51" t="s">
        <v>143</v>
      </c>
      <c r="B98" s="40" t="s">
        <v>67</v>
      </c>
      <c r="C98" s="41">
        <f>5</f>
        <v>5</v>
      </c>
      <c r="D98" s="81"/>
    </row>
    <row r="99" spans="1:4" ht="12.75">
      <c r="A99" s="49" t="s">
        <v>145</v>
      </c>
      <c r="B99" s="36"/>
      <c r="C99" s="36"/>
      <c r="D99" s="115"/>
    </row>
    <row r="100" spans="1:4" ht="12.75">
      <c r="A100" s="52" t="s">
        <v>194</v>
      </c>
      <c r="B100" s="41" t="s">
        <v>133</v>
      </c>
      <c r="C100" s="40">
        <f>2.8+15+6</f>
        <v>23.8</v>
      </c>
      <c r="D100" s="81"/>
    </row>
    <row r="101" spans="1:4" ht="12.75">
      <c r="A101" s="52" t="s">
        <v>148</v>
      </c>
      <c r="B101" s="40" t="s">
        <v>67</v>
      </c>
      <c r="C101" s="40">
        <v>2</v>
      </c>
      <c r="D101" s="81"/>
    </row>
    <row r="102" spans="1:4" ht="12.75">
      <c r="A102" s="52" t="s">
        <v>149</v>
      </c>
      <c r="B102" s="40" t="s">
        <v>67</v>
      </c>
      <c r="C102" s="40">
        <v>4</v>
      </c>
      <c r="D102" s="81"/>
    </row>
    <row r="103" spans="1:4" s="1" customFormat="1" ht="12.75">
      <c r="A103" s="80" t="s">
        <v>151</v>
      </c>
      <c r="B103" s="41" t="s">
        <v>39</v>
      </c>
      <c r="C103" s="41">
        <v>1724</v>
      </c>
      <c r="D103" s="68" t="s">
        <v>130</v>
      </c>
    </row>
    <row r="104" spans="1:4" ht="12.75">
      <c r="A104" s="52" t="s">
        <v>152</v>
      </c>
      <c r="B104" s="41" t="s">
        <v>133</v>
      </c>
      <c r="C104" s="40">
        <v>78</v>
      </c>
      <c r="D104" s="81"/>
    </row>
    <row r="105" spans="1:4" ht="12.75">
      <c r="A105" s="52" t="s">
        <v>331</v>
      </c>
      <c r="B105" s="41" t="s">
        <v>67</v>
      </c>
      <c r="C105" s="40">
        <v>2</v>
      </c>
      <c r="D105" s="81"/>
    </row>
    <row r="106" spans="1:4" ht="12.75">
      <c r="A106" s="49" t="s">
        <v>157</v>
      </c>
      <c r="B106" s="36"/>
      <c r="C106" s="36"/>
      <c r="D106" s="115"/>
    </row>
    <row r="107" spans="1:4" ht="12.75">
      <c r="A107" s="51" t="s">
        <v>203</v>
      </c>
      <c r="B107" s="40" t="s">
        <v>67</v>
      </c>
      <c r="C107" s="40">
        <v>2</v>
      </c>
      <c r="D107" s="81"/>
    </row>
    <row r="108" spans="1:4" ht="12.75">
      <c r="A108" s="80" t="s">
        <v>202</v>
      </c>
      <c r="B108" s="41" t="s">
        <v>39</v>
      </c>
      <c r="C108" s="41">
        <v>90</v>
      </c>
      <c r="D108" s="68" t="s">
        <v>186</v>
      </c>
    </row>
    <row r="109" spans="1:4" ht="12.75">
      <c r="A109" s="51" t="s">
        <v>159</v>
      </c>
      <c r="B109" s="40" t="s">
        <v>67</v>
      </c>
      <c r="C109" s="40">
        <v>2</v>
      </c>
      <c r="D109" s="81"/>
    </row>
    <row r="110" spans="1:4" ht="12.75">
      <c r="A110" s="51" t="s">
        <v>160</v>
      </c>
      <c r="B110" s="40" t="s">
        <v>67</v>
      </c>
      <c r="C110" s="40">
        <v>2</v>
      </c>
      <c r="D110" s="81"/>
    </row>
    <row r="111" spans="1:4" ht="12.75">
      <c r="A111" s="49" t="s">
        <v>161</v>
      </c>
      <c r="B111" s="36"/>
      <c r="C111" s="60"/>
      <c r="D111" s="62"/>
    </row>
    <row r="112" spans="1:4" ht="12.75">
      <c r="A112" s="54" t="s">
        <v>162</v>
      </c>
      <c r="B112" s="55" t="s">
        <v>39</v>
      </c>
      <c r="C112" s="56">
        <v>920</v>
      </c>
      <c r="D112" s="68" t="s">
        <v>44</v>
      </c>
    </row>
    <row r="113" spans="1:4" ht="12.75">
      <c r="A113" s="54" t="s">
        <v>163</v>
      </c>
      <c r="B113" s="58" t="s">
        <v>39</v>
      </c>
      <c r="C113" s="56">
        <v>920</v>
      </c>
      <c r="D113" s="89" t="s">
        <v>164</v>
      </c>
    </row>
    <row r="114" spans="1:4" ht="12.75">
      <c r="A114" s="49" t="s">
        <v>165</v>
      </c>
      <c r="B114" s="36"/>
      <c r="C114" s="60"/>
      <c r="D114" s="62"/>
    </row>
    <row r="115" spans="1:4" ht="12.75">
      <c r="A115" s="54" t="s">
        <v>162</v>
      </c>
      <c r="B115" s="55" t="s">
        <v>39</v>
      </c>
      <c r="C115" s="56">
        <f>920+53.76</f>
        <v>973.76</v>
      </c>
      <c r="D115" s="68" t="s">
        <v>44</v>
      </c>
    </row>
    <row r="116" spans="1:4" ht="12.75">
      <c r="A116" s="54" t="s">
        <v>163</v>
      </c>
      <c r="B116" s="55" t="s">
        <v>39</v>
      </c>
      <c r="C116" s="56">
        <f>920+53.76</f>
        <v>973.76</v>
      </c>
      <c r="D116" s="89" t="s">
        <v>164</v>
      </c>
    </row>
    <row r="117" spans="1:4" ht="12.75">
      <c r="A117" s="49" t="s">
        <v>166</v>
      </c>
      <c r="B117" s="36"/>
      <c r="C117" s="60"/>
      <c r="D117" s="62"/>
    </row>
    <row r="118" spans="1:4" ht="12.75">
      <c r="A118" s="54" t="s">
        <v>162</v>
      </c>
      <c r="B118" s="55" t="s">
        <v>39</v>
      </c>
      <c r="C118" s="56">
        <f>920+145.2+346</f>
        <v>1411.2</v>
      </c>
      <c r="D118" s="47" t="s">
        <v>175</v>
      </c>
    </row>
    <row r="119" spans="1:4" ht="12.75">
      <c r="A119" s="54" t="s">
        <v>163</v>
      </c>
      <c r="B119" s="58" t="s">
        <v>39</v>
      </c>
      <c r="C119" s="56">
        <f>920+145.2+346</f>
        <v>1411.2</v>
      </c>
      <c r="D119" s="89" t="s">
        <v>164</v>
      </c>
    </row>
    <row r="121" ht="12.75">
      <c r="A121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E147"/>
  <sheetViews>
    <sheetView workbookViewId="0" topLeftCell="A127">
      <selection activeCell="A149" sqref="A149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338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339</v>
      </c>
    </row>
    <row r="8" spans="1:3" ht="12.75">
      <c r="A8" s="1" t="s">
        <v>7</v>
      </c>
      <c r="C8" s="4" t="s">
        <v>340</v>
      </c>
    </row>
    <row r="9" spans="1:3" ht="12.75">
      <c r="A9" s="1" t="s">
        <v>9</v>
      </c>
      <c r="C9" s="70" t="s">
        <v>341</v>
      </c>
    </row>
    <row r="10" ht="12.75">
      <c r="C10" s="7"/>
    </row>
    <row r="11" spans="1:3" ht="12.75">
      <c r="A11" s="1" t="s">
        <v>11</v>
      </c>
      <c r="C11" s="7" t="s">
        <v>342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24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83"/>
    </row>
    <row r="24" spans="1:3" ht="12.75">
      <c r="A24" s="1" t="s">
        <v>32</v>
      </c>
      <c r="C24" s="71">
        <v>0.903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7" ht="12.75"/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12.75">
      <c r="A29" s="13" t="s">
        <v>38</v>
      </c>
      <c r="B29" s="14" t="s">
        <v>39</v>
      </c>
      <c r="C29" s="15">
        <v>1104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1104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5185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175</v>
      </c>
      <c r="D32" s="16" t="s">
        <v>46</v>
      </c>
    </row>
    <row r="33" spans="1:4" ht="12.75">
      <c r="A33" s="13" t="s">
        <v>47</v>
      </c>
      <c r="B33" s="17" t="s">
        <v>39</v>
      </c>
      <c r="C33" s="15">
        <v>525</v>
      </c>
      <c r="D33" s="16" t="s">
        <v>48</v>
      </c>
    </row>
    <row r="34" spans="1:4" ht="12.75">
      <c r="A34" s="13" t="s">
        <v>49</v>
      </c>
      <c r="B34" s="17" t="s">
        <v>50</v>
      </c>
      <c r="C34" s="15">
        <v>1104</v>
      </c>
      <c r="D34" s="16" t="s">
        <v>51</v>
      </c>
    </row>
    <row r="35" spans="1:4" ht="12.75">
      <c r="A35" s="13" t="s">
        <v>52</v>
      </c>
      <c r="B35" s="17" t="s">
        <v>39</v>
      </c>
      <c r="C35" s="15">
        <v>1656</v>
      </c>
      <c r="D35" s="16" t="s">
        <v>53</v>
      </c>
    </row>
    <row r="36" spans="1:4" ht="12.75">
      <c r="A36" s="13" t="s">
        <v>54</v>
      </c>
      <c r="B36" s="17" t="s">
        <v>39</v>
      </c>
      <c r="C36" s="15">
        <v>6</v>
      </c>
      <c r="D36" s="16" t="s">
        <v>55</v>
      </c>
    </row>
    <row r="37" spans="1:4" ht="12.75" customHeight="1">
      <c r="A37" s="13" t="s">
        <v>56</v>
      </c>
      <c r="B37" s="17" t="s">
        <v>39</v>
      </c>
      <c r="C37" s="15">
        <v>6</v>
      </c>
      <c r="D37" s="16" t="s">
        <v>57</v>
      </c>
    </row>
    <row r="38" spans="1:4" ht="12.75">
      <c r="A38" s="13"/>
      <c r="B38" s="17" t="s">
        <v>39</v>
      </c>
      <c r="C38" s="15">
        <v>6</v>
      </c>
      <c r="D38" s="16" t="s">
        <v>58</v>
      </c>
    </row>
    <row r="39" spans="1:4" ht="25.5">
      <c r="A39" s="13" t="s">
        <v>59</v>
      </c>
      <c r="B39" s="17" t="s">
        <v>39</v>
      </c>
      <c r="C39" s="15">
        <v>54</v>
      </c>
      <c r="D39" s="16" t="s">
        <v>60</v>
      </c>
    </row>
    <row r="40" spans="1:4" ht="12.75">
      <c r="A40" s="13" t="s">
        <v>61</v>
      </c>
      <c r="B40" s="17" t="s">
        <v>39</v>
      </c>
      <c r="C40" s="15">
        <v>1438.9</v>
      </c>
      <c r="D40" s="16" t="s">
        <v>46</v>
      </c>
    </row>
    <row r="41" spans="1:4" ht="25.5">
      <c r="A41" s="13" t="s">
        <v>62</v>
      </c>
      <c r="B41" s="17" t="s">
        <v>39</v>
      </c>
      <c r="C41" s="73">
        <v>1104</v>
      </c>
      <c r="D41" s="16" t="s">
        <v>53</v>
      </c>
    </row>
    <row r="42" spans="1:4" ht="12.75">
      <c r="A42" s="13" t="s">
        <v>63</v>
      </c>
      <c r="B42" s="17" t="s">
        <v>39</v>
      </c>
      <c r="C42" s="15">
        <v>6</v>
      </c>
      <c r="D42" s="16" t="s">
        <v>44</v>
      </c>
    </row>
    <row r="43" spans="1:4" ht="12.75">
      <c r="A43" s="13" t="s">
        <v>64</v>
      </c>
      <c r="B43" s="17" t="s">
        <v>39</v>
      </c>
      <c r="C43" s="15">
        <v>241.2</v>
      </c>
      <c r="D43" s="16" t="s">
        <v>44</v>
      </c>
    </row>
    <row r="44" spans="1:4" ht="25.5">
      <c r="A44" s="13" t="s">
        <v>65</v>
      </c>
      <c r="B44" s="17" t="s">
        <v>39</v>
      </c>
      <c r="C44" s="15">
        <v>114</v>
      </c>
      <c r="D44" s="16" t="s">
        <v>53</v>
      </c>
    </row>
    <row r="45" spans="1:4" ht="12.75">
      <c r="A45" s="13" t="s">
        <v>66</v>
      </c>
      <c r="B45" s="17" t="s">
        <v>67</v>
      </c>
      <c r="C45" s="15">
        <v>6</v>
      </c>
      <c r="D45" s="16" t="s">
        <v>60</v>
      </c>
    </row>
    <row r="46" spans="1:4" ht="25.5">
      <c r="A46" s="13" t="s">
        <v>68</v>
      </c>
      <c r="B46" s="17" t="s">
        <v>67</v>
      </c>
      <c r="C46" s="15">
        <v>6</v>
      </c>
      <c r="D46" s="16" t="s">
        <v>69</v>
      </c>
    </row>
    <row r="47" spans="1:4" ht="12.75">
      <c r="A47" s="13" t="s">
        <v>70</v>
      </c>
      <c r="B47" s="17" t="s">
        <v>39</v>
      </c>
      <c r="C47" s="15">
        <v>30</v>
      </c>
      <c r="D47" s="16" t="s">
        <v>71</v>
      </c>
    </row>
    <row r="48" spans="1:4" ht="12.75">
      <c r="A48" s="13" t="s">
        <v>72</v>
      </c>
      <c r="B48" s="17" t="s">
        <v>39</v>
      </c>
      <c r="C48" s="15">
        <f>1*1.88*8*6</f>
        <v>90.24</v>
      </c>
      <c r="D48" s="16" t="s">
        <v>53</v>
      </c>
    </row>
    <row r="49" spans="1:4" ht="25.5">
      <c r="A49" s="13" t="s">
        <v>73</v>
      </c>
      <c r="B49" s="17" t="s">
        <v>67</v>
      </c>
      <c r="C49" s="15">
        <v>6</v>
      </c>
      <c r="D49" s="16" t="s">
        <v>44</v>
      </c>
    </row>
    <row r="50" spans="1:4" ht="12.75">
      <c r="A50" s="13" t="s">
        <v>74</v>
      </c>
      <c r="B50" s="17" t="s">
        <v>39</v>
      </c>
      <c r="C50" s="15">
        <v>1332.1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25.5" customHeight="1">
      <c r="A56" s="13" t="s">
        <v>82</v>
      </c>
      <c r="B56" s="24" t="s">
        <v>79</v>
      </c>
      <c r="C56" s="24"/>
      <c r="D56" s="13" t="s">
        <v>83</v>
      </c>
    </row>
    <row r="57" spans="1:4" ht="25.5" customHeight="1">
      <c r="A57" s="13" t="s">
        <v>84</v>
      </c>
      <c r="B57" s="24" t="s">
        <v>79</v>
      </c>
      <c r="C57" s="24"/>
      <c r="D57" s="13" t="s">
        <v>83</v>
      </c>
    </row>
    <row r="58" spans="1:4" ht="25.5" customHeight="1">
      <c r="A58" s="13" t="s">
        <v>85</v>
      </c>
      <c r="B58" s="24" t="s">
        <v>79</v>
      </c>
      <c r="C58" s="24"/>
      <c r="D58" s="13" t="s">
        <v>86</v>
      </c>
    </row>
    <row r="59" spans="1:4" ht="25.5" customHeight="1">
      <c r="A59" s="13" t="s">
        <v>87</v>
      </c>
      <c r="B59" s="24" t="s">
        <v>79</v>
      </c>
      <c r="C59" s="24"/>
      <c r="D59" s="13" t="s">
        <v>88</v>
      </c>
    </row>
    <row r="60" spans="1:4" ht="25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5.5" customHeight="1">
      <c r="A62" s="13" t="s">
        <v>91</v>
      </c>
      <c r="B62" s="24" t="s">
        <v>79</v>
      </c>
      <c r="C62" s="24"/>
      <c r="D62" s="13" t="s">
        <v>92</v>
      </c>
    </row>
    <row r="63" spans="1:4" ht="25.5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7.75" customHeight="1">
      <c r="A65" s="13" t="s">
        <v>96</v>
      </c>
      <c r="B65" s="24" t="s">
        <v>79</v>
      </c>
      <c r="C65" s="24"/>
      <c r="D65" s="13" t="s">
        <v>88</v>
      </c>
    </row>
    <row r="66" spans="1:4" ht="25.5" customHeight="1">
      <c r="A66" s="13" t="s">
        <v>97</v>
      </c>
      <c r="B66" s="24" t="s">
        <v>79</v>
      </c>
      <c r="C66" s="24"/>
      <c r="D66" s="13" t="s">
        <v>98</v>
      </c>
    </row>
    <row r="67" spans="1:4" ht="25.5" customHeight="1">
      <c r="A67" s="13" t="s">
        <v>99</v>
      </c>
      <c r="B67" s="24" t="s">
        <v>79</v>
      </c>
      <c r="C67" s="24"/>
      <c r="D67" s="13" t="s">
        <v>100</v>
      </c>
    </row>
    <row r="68" spans="1:4" ht="27.75" customHeight="1">
      <c r="A68" s="13" t="s">
        <v>101</v>
      </c>
      <c r="B68" s="24" t="s">
        <v>79</v>
      </c>
      <c r="C68" s="24"/>
      <c r="D68" s="13" t="s">
        <v>88</v>
      </c>
    </row>
    <row r="69" spans="1:4" ht="26.25" customHeight="1">
      <c r="A69" s="13" t="s">
        <v>102</v>
      </c>
      <c r="B69" s="24" t="s">
        <v>79</v>
      </c>
      <c r="C69" s="24"/>
      <c r="D69" s="13" t="s">
        <v>60</v>
      </c>
    </row>
    <row r="70" spans="1:4" ht="30" customHeight="1">
      <c r="A70" s="13" t="s">
        <v>103</v>
      </c>
      <c r="B70" s="24" t="s">
        <v>79</v>
      </c>
      <c r="C70" s="24"/>
      <c r="D70" s="13" t="s">
        <v>104</v>
      </c>
    </row>
    <row r="71" spans="1:4" ht="25.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4.75" customHeight="1">
      <c r="A73" s="13" t="s">
        <v>89</v>
      </c>
      <c r="B73" s="24" t="s">
        <v>79</v>
      </c>
      <c r="C73" s="24"/>
      <c r="D73" s="13" t="s">
        <v>40</v>
      </c>
    </row>
    <row r="74" spans="1:4" ht="25.5" customHeight="1">
      <c r="A74" s="13" t="s">
        <v>109</v>
      </c>
      <c r="B74" s="24" t="s">
        <v>79</v>
      </c>
      <c r="C74" s="24"/>
      <c r="D74" s="13" t="s">
        <v>108</v>
      </c>
    </row>
    <row r="75" spans="1:4" ht="22.5" customHeight="1">
      <c r="A75" s="28" t="s">
        <v>110</v>
      </c>
      <c r="B75" s="28"/>
      <c r="C75" s="31"/>
      <c r="D75" s="30"/>
    </row>
    <row r="76" spans="1:4" ht="27.75" customHeight="1">
      <c r="A76" s="13" t="s">
        <v>111</v>
      </c>
      <c r="B76" s="14" t="s">
        <v>112</v>
      </c>
      <c r="C76" s="15">
        <f>578*1.15*12</f>
        <v>7976.4</v>
      </c>
      <c r="D76" s="74" t="s">
        <v>69</v>
      </c>
    </row>
    <row r="77" spans="1:4" ht="12.75">
      <c r="A77" s="13" t="s">
        <v>113</v>
      </c>
      <c r="B77" s="33" t="s">
        <v>112</v>
      </c>
      <c r="C77" s="15">
        <f>0.75*6*2*51</f>
        <v>459</v>
      </c>
      <c r="D77" s="74" t="s">
        <v>114</v>
      </c>
    </row>
    <row r="78" spans="1:4" ht="25.5">
      <c r="A78" s="13" t="s">
        <v>115</v>
      </c>
      <c r="B78" s="14" t="s">
        <v>67</v>
      </c>
      <c r="C78" s="15">
        <v>6</v>
      </c>
      <c r="D78" s="74" t="s">
        <v>116</v>
      </c>
    </row>
    <row r="79" spans="1:4" ht="12.75" customHeight="1">
      <c r="A79" s="28" t="s">
        <v>117</v>
      </c>
      <c r="B79" s="28"/>
      <c r="C79" s="29"/>
      <c r="D79" s="30"/>
    </row>
    <row r="80" spans="1:4" ht="12.75">
      <c r="A80" s="35" t="s">
        <v>118</v>
      </c>
      <c r="B80" s="36"/>
      <c r="C80" s="37"/>
      <c r="D80" s="38"/>
    </row>
    <row r="81" spans="1:4" s="97" customFormat="1" ht="12.75">
      <c r="A81" s="43" t="s">
        <v>184</v>
      </c>
      <c r="B81" s="41" t="s">
        <v>39</v>
      </c>
      <c r="C81" s="64">
        <v>3</v>
      </c>
      <c r="D81" s="96"/>
    </row>
    <row r="82" spans="1:4" s="1" customFormat="1" ht="12.75">
      <c r="A82" s="43" t="s">
        <v>120</v>
      </c>
      <c r="B82" s="41" t="s">
        <v>67</v>
      </c>
      <c r="C82" s="41">
        <v>6</v>
      </c>
      <c r="D82" s="68" t="s">
        <v>186</v>
      </c>
    </row>
    <row r="83" spans="1:4" ht="12.75">
      <c r="A83" s="39" t="s">
        <v>343</v>
      </c>
      <c r="B83" s="40" t="s">
        <v>67</v>
      </c>
      <c r="C83" s="41">
        <v>9</v>
      </c>
      <c r="D83" s="42"/>
    </row>
    <row r="84" spans="1:4" ht="12.75">
      <c r="A84" s="39" t="s">
        <v>121</v>
      </c>
      <c r="B84" s="40" t="s">
        <v>122</v>
      </c>
      <c r="C84" s="40">
        <v>18</v>
      </c>
      <c r="D84" s="42"/>
    </row>
    <row r="85" spans="1:4" ht="12.75">
      <c r="A85" s="35" t="s">
        <v>124</v>
      </c>
      <c r="B85" s="36"/>
      <c r="C85" s="36"/>
      <c r="D85" s="45"/>
    </row>
    <row r="86" spans="1:4" ht="12.75">
      <c r="A86" s="43" t="s">
        <v>125</v>
      </c>
      <c r="B86" s="41" t="s">
        <v>122</v>
      </c>
      <c r="C86" s="41">
        <f>3</f>
        <v>3</v>
      </c>
      <c r="D86" s="42"/>
    </row>
    <row r="87" spans="1:4" ht="12.75">
      <c r="A87" s="35" t="s">
        <v>126</v>
      </c>
      <c r="B87" s="36"/>
      <c r="C87" s="36"/>
      <c r="D87" s="45"/>
    </row>
    <row r="88" spans="1:4" ht="12.75">
      <c r="A88" s="43" t="s">
        <v>127</v>
      </c>
      <c r="B88" s="46" t="s">
        <v>67</v>
      </c>
      <c r="C88" s="41">
        <f>1+8+2+2+7+1</f>
        <v>21</v>
      </c>
      <c r="D88" s="42"/>
    </row>
    <row r="89" spans="1:4" ht="12.75">
      <c r="A89" s="43" t="s">
        <v>125</v>
      </c>
      <c r="B89" s="46" t="s">
        <v>67</v>
      </c>
      <c r="C89" s="41">
        <f>8+3</f>
        <v>11</v>
      </c>
      <c r="D89" s="42"/>
    </row>
    <row r="90" spans="1:4" ht="12.75">
      <c r="A90" s="43" t="s">
        <v>344</v>
      </c>
      <c r="B90" s="40" t="s">
        <v>67</v>
      </c>
      <c r="C90" s="41">
        <f>2+2+1+7+2+1+1</f>
        <v>16</v>
      </c>
      <c r="D90" s="42"/>
    </row>
    <row r="91" spans="1:4" s="1" customFormat="1" ht="12.75">
      <c r="A91" s="43" t="s">
        <v>131</v>
      </c>
      <c r="B91" s="41" t="s">
        <v>67</v>
      </c>
      <c r="C91" s="41">
        <v>6</v>
      </c>
      <c r="D91" s="68" t="s">
        <v>186</v>
      </c>
    </row>
    <row r="92" spans="1:4" ht="12.75">
      <c r="A92" s="43" t="s">
        <v>189</v>
      </c>
      <c r="B92" s="40" t="s">
        <v>133</v>
      </c>
      <c r="C92" s="41">
        <f>6</f>
        <v>6</v>
      </c>
      <c r="D92" s="42"/>
    </row>
    <row r="93" spans="1:4" ht="12.75">
      <c r="A93" s="43" t="s">
        <v>132</v>
      </c>
      <c r="B93" s="40" t="s">
        <v>133</v>
      </c>
      <c r="C93" s="41">
        <f>3+30+9+6</f>
        <v>48</v>
      </c>
      <c r="D93" s="42"/>
    </row>
    <row r="94" spans="1:4" ht="12.75">
      <c r="A94" s="43" t="s">
        <v>190</v>
      </c>
      <c r="B94" s="40" t="s">
        <v>67</v>
      </c>
      <c r="C94" s="41">
        <v>8</v>
      </c>
      <c r="D94" s="42"/>
    </row>
    <row r="95" spans="1:4" ht="12.75">
      <c r="A95" s="43" t="s">
        <v>134</v>
      </c>
      <c r="B95" s="40" t="s">
        <v>39</v>
      </c>
      <c r="C95" s="41">
        <v>19.5</v>
      </c>
      <c r="D95" s="42"/>
    </row>
    <row r="96" spans="1:4" ht="12.75">
      <c r="A96" s="43" t="s">
        <v>277</v>
      </c>
      <c r="B96" s="40" t="s">
        <v>67</v>
      </c>
      <c r="C96" s="41">
        <f>30+5</f>
        <v>35</v>
      </c>
      <c r="D96" s="42"/>
    </row>
    <row r="97" spans="1:4" ht="12.75">
      <c r="A97" s="43" t="s">
        <v>345</v>
      </c>
      <c r="B97" s="40" t="s">
        <v>67</v>
      </c>
      <c r="C97" s="41">
        <f>1+1+1</f>
        <v>3</v>
      </c>
      <c r="D97" s="42"/>
    </row>
    <row r="98" spans="1:4" ht="12.75">
      <c r="A98" s="43" t="s">
        <v>136</v>
      </c>
      <c r="B98" s="40" t="s">
        <v>67</v>
      </c>
      <c r="C98" s="41">
        <f>2</f>
        <v>2</v>
      </c>
      <c r="D98" s="42"/>
    </row>
    <row r="99" spans="1:4" ht="12.75">
      <c r="A99" s="43" t="s">
        <v>346</v>
      </c>
      <c r="B99" s="40" t="s">
        <v>122</v>
      </c>
      <c r="C99" s="41">
        <v>8</v>
      </c>
      <c r="D99" s="42"/>
    </row>
    <row r="100" spans="1:4" ht="12.75">
      <c r="A100" s="88" t="s">
        <v>267</v>
      </c>
      <c r="B100" s="40" t="s">
        <v>122</v>
      </c>
      <c r="C100" s="41">
        <f>1</f>
        <v>1</v>
      </c>
      <c r="D100" s="42"/>
    </row>
    <row r="101" spans="1:4" ht="12.75">
      <c r="A101" s="88" t="s">
        <v>268</v>
      </c>
      <c r="B101" s="40" t="s">
        <v>67</v>
      </c>
      <c r="C101" s="41">
        <v>6</v>
      </c>
      <c r="D101" s="42"/>
    </row>
    <row r="102" spans="1:4" ht="12.75">
      <c r="A102" s="35" t="s">
        <v>137</v>
      </c>
      <c r="B102" s="48"/>
      <c r="C102" s="36"/>
      <c r="D102" s="45"/>
    </row>
    <row r="103" spans="1:4" ht="12.75">
      <c r="A103" s="39" t="s">
        <v>138</v>
      </c>
      <c r="B103" s="40" t="s">
        <v>122</v>
      </c>
      <c r="C103" s="41">
        <v>6</v>
      </c>
      <c r="D103" s="42"/>
    </row>
    <row r="104" spans="1:4" ht="12.75">
      <c r="A104" s="35" t="s">
        <v>139</v>
      </c>
      <c r="B104" s="36"/>
      <c r="C104" s="36"/>
      <c r="D104" s="45"/>
    </row>
    <row r="105" spans="1:4" ht="12.75">
      <c r="A105" s="39" t="s">
        <v>140</v>
      </c>
      <c r="B105" s="40" t="s">
        <v>39</v>
      </c>
      <c r="C105" s="40">
        <v>3</v>
      </c>
      <c r="D105" s="42"/>
    </row>
    <row r="106" spans="1:4" ht="12.75">
      <c r="A106" s="79" t="s">
        <v>347</v>
      </c>
      <c r="B106" s="40" t="s">
        <v>133</v>
      </c>
      <c r="C106" s="40">
        <v>15</v>
      </c>
      <c r="D106" s="42"/>
    </row>
    <row r="107" spans="1:4" ht="12.75">
      <c r="A107" s="35" t="s">
        <v>213</v>
      </c>
      <c r="B107" s="36"/>
      <c r="C107" s="36"/>
      <c r="D107" s="45"/>
    </row>
    <row r="108" spans="1:4" s="1" customFormat="1" ht="12.75">
      <c r="A108" s="80" t="s">
        <v>241</v>
      </c>
      <c r="B108" s="41" t="s">
        <v>67</v>
      </c>
      <c r="C108" s="41">
        <v>6</v>
      </c>
      <c r="D108" s="68"/>
    </row>
    <row r="109" spans="1:4" ht="12.75">
      <c r="A109" s="49" t="s">
        <v>141</v>
      </c>
      <c r="B109" s="36"/>
      <c r="C109" s="36"/>
      <c r="D109" s="45"/>
    </row>
    <row r="110" spans="1:4" ht="12.75">
      <c r="A110" s="52" t="s">
        <v>255</v>
      </c>
      <c r="B110" s="84" t="s">
        <v>39</v>
      </c>
      <c r="C110" s="40">
        <v>16</v>
      </c>
      <c r="D110" s="42"/>
    </row>
    <row r="111" spans="1:4" ht="12.75">
      <c r="A111" s="51" t="s">
        <v>348</v>
      </c>
      <c r="B111" s="41" t="s">
        <v>133</v>
      </c>
      <c r="C111" s="41">
        <v>5</v>
      </c>
      <c r="D111" s="42"/>
    </row>
    <row r="112" spans="1:4" ht="12.75">
      <c r="A112" s="51" t="s">
        <v>218</v>
      </c>
      <c r="B112" s="41" t="s">
        <v>39</v>
      </c>
      <c r="C112" s="41">
        <v>16</v>
      </c>
      <c r="D112" s="42"/>
    </row>
    <row r="113" spans="1:4" ht="12.75">
      <c r="A113" s="51" t="s">
        <v>143</v>
      </c>
      <c r="B113" s="40" t="s">
        <v>67</v>
      </c>
      <c r="C113" s="41">
        <v>8</v>
      </c>
      <c r="D113" s="42"/>
    </row>
    <row r="114" spans="1:4" s="1" customFormat="1" ht="12.75">
      <c r="A114" s="80" t="s">
        <v>242</v>
      </c>
      <c r="B114" s="41" t="s">
        <v>67</v>
      </c>
      <c r="C114" s="41">
        <v>3</v>
      </c>
      <c r="D114" s="68" t="s">
        <v>186</v>
      </c>
    </row>
    <row r="115" spans="1:4" ht="12.75">
      <c r="A115" s="49" t="s">
        <v>145</v>
      </c>
      <c r="B115" s="36"/>
      <c r="C115" s="36"/>
      <c r="D115" s="45"/>
    </row>
    <row r="116" spans="1:4" ht="12.75">
      <c r="A116" s="52" t="s">
        <v>195</v>
      </c>
      <c r="B116" s="41" t="s">
        <v>112</v>
      </c>
      <c r="C116" s="40">
        <v>7</v>
      </c>
      <c r="D116" s="42"/>
    </row>
    <row r="117" spans="1:4" ht="12.75">
      <c r="A117" s="52" t="s">
        <v>243</v>
      </c>
      <c r="B117" s="41" t="s">
        <v>39</v>
      </c>
      <c r="C117" s="40">
        <v>256</v>
      </c>
      <c r="D117" s="42"/>
    </row>
    <row r="118" spans="1:4" ht="12.75">
      <c r="A118" s="52" t="s">
        <v>146</v>
      </c>
      <c r="B118" s="40" t="s">
        <v>67</v>
      </c>
      <c r="C118" s="40">
        <v>1</v>
      </c>
      <c r="D118" s="42"/>
    </row>
    <row r="119" spans="1:4" ht="12.75">
      <c r="A119" s="52" t="s">
        <v>147</v>
      </c>
      <c r="B119" s="40" t="s">
        <v>67</v>
      </c>
      <c r="C119" s="40">
        <v>6</v>
      </c>
      <c r="D119" s="42"/>
    </row>
    <row r="120" spans="1:4" ht="12.75">
      <c r="A120" s="52" t="s">
        <v>149</v>
      </c>
      <c r="B120" s="40" t="s">
        <v>67</v>
      </c>
      <c r="C120" s="40">
        <v>7</v>
      </c>
      <c r="D120" s="42"/>
    </row>
    <row r="121" spans="1:4" ht="12.75">
      <c r="A121" s="52" t="s">
        <v>196</v>
      </c>
      <c r="B121" s="41" t="s">
        <v>67</v>
      </c>
      <c r="C121" s="40">
        <f>3+7+10</f>
        <v>20</v>
      </c>
      <c r="D121" s="42"/>
    </row>
    <row r="122" spans="1:4" ht="12.75">
      <c r="A122" s="52" t="s">
        <v>151</v>
      </c>
      <c r="B122" s="41" t="s">
        <v>39</v>
      </c>
      <c r="C122" s="40">
        <v>292</v>
      </c>
      <c r="D122" s="42"/>
    </row>
    <row r="123" spans="1:4" ht="12.75">
      <c r="A123" s="52" t="s">
        <v>197</v>
      </c>
      <c r="B123" s="41" t="s">
        <v>67</v>
      </c>
      <c r="C123" s="40">
        <f>5+1</f>
        <v>6</v>
      </c>
      <c r="D123" s="42"/>
    </row>
    <row r="124" spans="1:4" ht="12.75">
      <c r="A124" s="52" t="s">
        <v>198</v>
      </c>
      <c r="B124" s="41" t="s">
        <v>67</v>
      </c>
      <c r="C124" s="40">
        <f>1+3</f>
        <v>4</v>
      </c>
      <c r="D124" s="42"/>
    </row>
    <row r="125" spans="1:4" ht="12.75">
      <c r="A125" s="52" t="s">
        <v>154</v>
      </c>
      <c r="B125" s="41" t="s">
        <v>67</v>
      </c>
      <c r="C125" s="40">
        <v>6</v>
      </c>
      <c r="D125" s="42"/>
    </row>
    <row r="126" spans="1:4" ht="12.75">
      <c r="A126" s="51" t="s">
        <v>310</v>
      </c>
      <c r="B126" s="40" t="s">
        <v>67</v>
      </c>
      <c r="C126" s="40">
        <v>1</v>
      </c>
      <c r="D126" s="42"/>
    </row>
    <row r="127" spans="1:4" ht="12.75">
      <c r="A127" s="49" t="s">
        <v>157</v>
      </c>
      <c r="B127" s="36"/>
      <c r="C127" s="36"/>
      <c r="D127" s="45"/>
    </row>
    <row r="128" spans="1:4" ht="12.75">
      <c r="A128" s="51" t="s">
        <v>158</v>
      </c>
      <c r="B128" s="40" t="s">
        <v>67</v>
      </c>
      <c r="C128" s="40">
        <f>7+2+6+3+1+2+9</f>
        <v>30</v>
      </c>
      <c r="D128" s="42"/>
    </row>
    <row r="129" spans="1:4" ht="12.75">
      <c r="A129" s="51" t="s">
        <v>203</v>
      </c>
      <c r="B129" s="40" t="s">
        <v>67</v>
      </c>
      <c r="C129" s="40">
        <v>2</v>
      </c>
      <c r="D129" s="42"/>
    </row>
    <row r="130" spans="1:4" ht="12.75">
      <c r="A130" s="51" t="s">
        <v>159</v>
      </c>
      <c r="B130" s="40" t="s">
        <v>67</v>
      </c>
      <c r="C130" s="40">
        <v>6</v>
      </c>
      <c r="D130" s="42"/>
    </row>
    <row r="131" spans="1:4" ht="12.75">
      <c r="A131" s="51" t="s">
        <v>160</v>
      </c>
      <c r="B131" s="40" t="s">
        <v>67</v>
      </c>
      <c r="C131" s="40">
        <v>6</v>
      </c>
      <c r="D131" s="42"/>
    </row>
    <row r="132" spans="1:4" ht="12.75">
      <c r="A132" s="51" t="s">
        <v>280</v>
      </c>
      <c r="B132" s="40" t="s">
        <v>39</v>
      </c>
      <c r="C132" s="40">
        <v>158</v>
      </c>
      <c r="D132" s="42"/>
    </row>
    <row r="133" spans="1:4" s="1" customFormat="1" ht="12.75">
      <c r="A133" s="80" t="s">
        <v>349</v>
      </c>
      <c r="B133" s="41" t="s">
        <v>39</v>
      </c>
      <c r="C133" s="41">
        <v>800</v>
      </c>
      <c r="D133" s="44"/>
    </row>
    <row r="134" spans="1:5" ht="12.75">
      <c r="A134" s="49" t="s">
        <v>161</v>
      </c>
      <c r="B134" s="37"/>
      <c r="C134" s="116"/>
      <c r="D134" s="45"/>
      <c r="E134" s="94"/>
    </row>
    <row r="135" spans="1:4" ht="12.75">
      <c r="A135" s="54" t="s">
        <v>162</v>
      </c>
      <c r="B135" s="55" t="s">
        <v>39</v>
      </c>
      <c r="C135" s="56">
        <v>1332.1</v>
      </c>
      <c r="D135" s="68" t="s">
        <v>44</v>
      </c>
    </row>
    <row r="136" spans="1:4" ht="12.75">
      <c r="A136" s="54" t="s">
        <v>163</v>
      </c>
      <c r="B136" s="58" t="s">
        <v>39</v>
      </c>
      <c r="C136" s="56">
        <v>1332.1</v>
      </c>
      <c r="D136" s="89" t="s">
        <v>164</v>
      </c>
    </row>
    <row r="137" spans="1:5" ht="12.75">
      <c r="A137" s="49" t="s">
        <v>165</v>
      </c>
      <c r="B137" s="37"/>
      <c r="C137" s="116"/>
      <c r="D137" s="45"/>
      <c r="E137" s="94"/>
    </row>
    <row r="138" spans="1:4" ht="12.75">
      <c r="A138" s="54" t="s">
        <v>162</v>
      </c>
      <c r="B138" s="55" t="s">
        <v>39</v>
      </c>
      <c r="C138" s="56">
        <f>1332.1+161.28</f>
        <v>1493.3799999999999</v>
      </c>
      <c r="D138" s="68" t="s">
        <v>44</v>
      </c>
    </row>
    <row r="139" spans="1:4" ht="12.75">
      <c r="A139" s="54" t="s">
        <v>163</v>
      </c>
      <c r="B139" s="55" t="s">
        <v>39</v>
      </c>
      <c r="C139" s="56">
        <f>1332.1+161.28</f>
        <v>1493.3799999999999</v>
      </c>
      <c r="D139" s="89" t="s">
        <v>164</v>
      </c>
    </row>
    <row r="140" spans="1:5" ht="12.75">
      <c r="A140" s="49" t="s">
        <v>166</v>
      </c>
      <c r="B140" s="37"/>
      <c r="C140" s="116"/>
      <c r="D140" s="45"/>
      <c r="E140" s="94"/>
    </row>
    <row r="141" spans="1:4" ht="12.75">
      <c r="A141" s="54" t="s">
        <v>162</v>
      </c>
      <c r="B141" s="55" t="s">
        <v>39</v>
      </c>
      <c r="C141" s="56">
        <f>1332.1+749.9+532.1</f>
        <v>2614.1</v>
      </c>
      <c r="D141" s="47" t="s">
        <v>175</v>
      </c>
    </row>
    <row r="142" spans="1:4" ht="12.75">
      <c r="A142" s="54" t="s">
        <v>163</v>
      </c>
      <c r="B142" s="58" t="s">
        <v>39</v>
      </c>
      <c r="C142" s="56">
        <f>1332.1+749.9+532.1</f>
        <v>2614.1</v>
      </c>
      <c r="D142" s="89" t="s">
        <v>164</v>
      </c>
    </row>
    <row r="143" spans="1:5" ht="12.75">
      <c r="A143" s="49" t="s">
        <v>168</v>
      </c>
      <c r="B143" s="37"/>
      <c r="C143" s="116"/>
      <c r="D143" s="45"/>
      <c r="E143" s="94"/>
    </row>
    <row r="144" spans="1:5" ht="12.75">
      <c r="A144" s="54" t="s">
        <v>169</v>
      </c>
      <c r="B144" s="55" t="s">
        <v>170</v>
      </c>
      <c r="C144" s="66" t="s">
        <v>204</v>
      </c>
      <c r="D144" s="68" t="s">
        <v>44</v>
      </c>
      <c r="E144" s="67"/>
    </row>
    <row r="145" spans="1:4" ht="12.75">
      <c r="A145" s="54" t="s">
        <v>172</v>
      </c>
      <c r="B145" s="55" t="s">
        <v>170</v>
      </c>
      <c r="C145" s="66" t="s">
        <v>204</v>
      </c>
      <c r="D145" s="47" t="s">
        <v>350</v>
      </c>
    </row>
    <row r="146" spans="1:4" ht="12.75">
      <c r="A146" s="69" t="s">
        <v>174</v>
      </c>
      <c r="B146" s="55" t="s">
        <v>170</v>
      </c>
      <c r="C146" s="55">
        <v>6</v>
      </c>
      <c r="D146" s="68" t="s">
        <v>175</v>
      </c>
    </row>
    <row r="147" ht="12.75">
      <c r="A147" s="90"/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E121"/>
  <sheetViews>
    <sheetView workbookViewId="0" topLeftCell="A91">
      <selection activeCell="A123" sqref="A123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351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352</v>
      </c>
    </row>
    <row r="8" spans="1:3" ht="12.75">
      <c r="A8" s="1" t="s">
        <v>7</v>
      </c>
      <c r="C8" s="4" t="s">
        <v>353</v>
      </c>
    </row>
    <row r="9" spans="1:3" ht="12.75">
      <c r="A9" s="1" t="s">
        <v>9</v>
      </c>
      <c r="C9" s="70" t="s">
        <v>354</v>
      </c>
    </row>
    <row r="10" ht="12.75">
      <c r="C10" s="7"/>
    </row>
    <row r="11" spans="1:3" ht="12.75">
      <c r="A11" s="1" t="s">
        <v>11</v>
      </c>
      <c r="C11" s="7" t="s">
        <v>355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24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83"/>
    </row>
    <row r="24" spans="1:3" ht="12.75">
      <c r="A24" s="1" t="s">
        <v>32</v>
      </c>
      <c r="C24" s="71">
        <v>0.8869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197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197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1145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29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88</v>
      </c>
      <c r="D33" s="16" t="s">
        <v>48</v>
      </c>
    </row>
    <row r="34" spans="1:4" ht="25.5">
      <c r="A34" s="13" t="s">
        <v>49</v>
      </c>
      <c r="B34" s="17" t="s">
        <v>50</v>
      </c>
      <c r="C34" s="73">
        <v>197</v>
      </c>
      <c r="D34" s="16" t="s">
        <v>51</v>
      </c>
    </row>
    <row r="35" spans="1:4" ht="25.5">
      <c r="A35" s="13" t="s">
        <v>52</v>
      </c>
      <c r="B35" s="17" t="s">
        <v>39</v>
      </c>
      <c r="C35" s="73">
        <v>295</v>
      </c>
      <c r="D35" s="16" t="s">
        <v>53</v>
      </c>
    </row>
    <row r="36" spans="1:4" ht="12.75">
      <c r="A36" s="13" t="s">
        <v>54</v>
      </c>
      <c r="B36" s="17" t="s">
        <v>39</v>
      </c>
      <c r="C36" s="15">
        <v>1</v>
      </c>
      <c r="D36" s="16" t="s">
        <v>55</v>
      </c>
    </row>
    <row r="37" spans="1:4" ht="12.75" customHeight="1">
      <c r="A37" s="13" t="s">
        <v>56</v>
      </c>
      <c r="B37" s="17" t="s">
        <v>39</v>
      </c>
      <c r="C37" s="15">
        <v>1</v>
      </c>
      <c r="D37" s="16" t="s">
        <v>57</v>
      </c>
    </row>
    <row r="38" spans="1:4" ht="25.5">
      <c r="A38" s="13"/>
      <c r="B38" s="17" t="s">
        <v>39</v>
      </c>
      <c r="C38" s="15">
        <v>1</v>
      </c>
      <c r="D38" s="16" t="s">
        <v>58</v>
      </c>
    </row>
    <row r="39" spans="1:4" ht="25.5">
      <c r="A39" s="13" t="s">
        <v>59</v>
      </c>
      <c r="B39" s="17" t="s">
        <v>39</v>
      </c>
      <c r="C39" s="15">
        <v>9</v>
      </c>
      <c r="D39" s="16" t="s">
        <v>60</v>
      </c>
    </row>
    <row r="40" spans="1:4" ht="12.75">
      <c r="A40" s="13" t="s">
        <v>61</v>
      </c>
      <c r="B40" s="17" t="s">
        <v>39</v>
      </c>
      <c r="C40" s="15">
        <v>394.7</v>
      </c>
      <c r="D40" s="16" t="s">
        <v>46</v>
      </c>
    </row>
    <row r="41" spans="1:4" ht="25.5">
      <c r="A41" s="13" t="s">
        <v>62</v>
      </c>
      <c r="B41" s="17" t="s">
        <v>39</v>
      </c>
      <c r="C41" s="73">
        <v>197</v>
      </c>
      <c r="D41" s="16" t="s">
        <v>53</v>
      </c>
    </row>
    <row r="42" spans="1:4" ht="12.75">
      <c r="A42" s="13" t="s">
        <v>63</v>
      </c>
      <c r="B42" s="17" t="s">
        <v>39</v>
      </c>
      <c r="C42" s="15">
        <v>1</v>
      </c>
      <c r="D42" s="16" t="s">
        <v>44</v>
      </c>
    </row>
    <row r="43" spans="1:4" ht="12.75">
      <c r="A43" s="13" t="s">
        <v>64</v>
      </c>
      <c r="B43" s="17" t="s">
        <v>39</v>
      </c>
      <c r="C43" s="15">
        <v>40</v>
      </c>
      <c r="D43" s="16" t="s">
        <v>44</v>
      </c>
    </row>
    <row r="44" spans="1:4" ht="25.5">
      <c r="A44" s="13" t="s">
        <v>65</v>
      </c>
      <c r="B44" s="17" t="s">
        <v>39</v>
      </c>
      <c r="C44" s="15">
        <v>19</v>
      </c>
      <c r="D44" s="16" t="s">
        <v>53</v>
      </c>
    </row>
    <row r="45" spans="1:4" ht="12.75">
      <c r="A45" s="13" t="s">
        <v>66</v>
      </c>
      <c r="B45" s="17" t="s">
        <v>67</v>
      </c>
      <c r="C45" s="15">
        <v>1</v>
      </c>
      <c r="D45" s="16" t="s">
        <v>60</v>
      </c>
    </row>
    <row r="46" spans="1:4" ht="25.5">
      <c r="A46" s="13" t="s">
        <v>68</v>
      </c>
      <c r="B46" s="17" t="s">
        <v>67</v>
      </c>
      <c r="C46" s="15">
        <v>1</v>
      </c>
      <c r="D46" s="16" t="s">
        <v>69</v>
      </c>
    </row>
    <row r="47" spans="1:4" ht="12.75">
      <c r="A47" s="13" t="s">
        <v>70</v>
      </c>
      <c r="B47" s="17" t="s">
        <v>39</v>
      </c>
      <c r="C47" s="15">
        <v>5</v>
      </c>
      <c r="D47" s="16" t="s">
        <v>71</v>
      </c>
    </row>
    <row r="48" spans="1:4" ht="25.5">
      <c r="A48" s="13" t="s">
        <v>72</v>
      </c>
      <c r="B48" s="17" t="s">
        <v>39</v>
      </c>
      <c r="C48" s="15">
        <f>1*1.88*8*1</f>
        <v>15.04</v>
      </c>
      <c r="D48" s="16" t="s">
        <v>53</v>
      </c>
    </row>
    <row r="49" spans="1:4" ht="25.5">
      <c r="A49" s="13" t="s">
        <v>73</v>
      </c>
      <c r="B49" s="17" t="s">
        <v>67</v>
      </c>
      <c r="C49" s="15">
        <v>1</v>
      </c>
      <c r="D49" s="16" t="s">
        <v>44</v>
      </c>
    </row>
    <row r="50" spans="1:4" ht="12.75">
      <c r="A50" s="13" t="s">
        <v>74</v>
      </c>
      <c r="B50" s="17" t="s">
        <v>39</v>
      </c>
      <c r="C50" s="15">
        <v>395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25.5" customHeight="1">
      <c r="A56" s="13" t="s">
        <v>82</v>
      </c>
      <c r="B56" s="24" t="s">
        <v>79</v>
      </c>
      <c r="C56" s="24"/>
      <c r="D56" s="13" t="s">
        <v>83</v>
      </c>
    </row>
    <row r="57" spans="1:4" ht="25.5" customHeight="1">
      <c r="A57" s="13" t="s">
        <v>84</v>
      </c>
      <c r="B57" s="24" t="s">
        <v>79</v>
      </c>
      <c r="C57" s="24"/>
      <c r="D57" s="13" t="s">
        <v>83</v>
      </c>
    </row>
    <row r="58" spans="1:4" ht="25.5" customHeight="1">
      <c r="A58" s="13" t="s">
        <v>85</v>
      </c>
      <c r="B58" s="24" t="s">
        <v>79</v>
      </c>
      <c r="C58" s="24"/>
      <c r="D58" s="13" t="s">
        <v>86</v>
      </c>
    </row>
    <row r="59" spans="1:4" ht="29.25" customHeight="1">
      <c r="A59" s="13" t="s">
        <v>87</v>
      </c>
      <c r="B59" s="24" t="s">
        <v>79</v>
      </c>
      <c r="C59" s="24"/>
      <c r="D59" s="13" t="s">
        <v>88</v>
      </c>
    </row>
    <row r="60" spans="1:4" ht="25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5.5" customHeight="1">
      <c r="A62" s="13" t="s">
        <v>91</v>
      </c>
      <c r="B62" s="24" t="s">
        <v>79</v>
      </c>
      <c r="C62" s="24"/>
      <c r="D62" s="13" t="s">
        <v>92</v>
      </c>
    </row>
    <row r="63" spans="1:4" ht="24.75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7.75" customHeight="1">
      <c r="A65" s="13" t="s">
        <v>96</v>
      </c>
      <c r="B65" s="24" t="s">
        <v>79</v>
      </c>
      <c r="C65" s="24"/>
      <c r="D65" s="13" t="s">
        <v>88</v>
      </c>
    </row>
    <row r="66" spans="1:4" ht="25.5" customHeight="1">
      <c r="A66" s="13" t="s">
        <v>97</v>
      </c>
      <c r="B66" s="24" t="s">
        <v>79</v>
      </c>
      <c r="C66" s="24"/>
      <c r="D66" s="13" t="s">
        <v>98</v>
      </c>
    </row>
    <row r="67" spans="1:4" ht="25.5" customHeight="1">
      <c r="A67" s="13" t="s">
        <v>99</v>
      </c>
      <c r="B67" s="24" t="s">
        <v>79</v>
      </c>
      <c r="C67" s="24"/>
      <c r="D67" s="13" t="s">
        <v>100</v>
      </c>
    </row>
    <row r="68" spans="1:4" ht="27.75" customHeight="1">
      <c r="A68" s="13" t="s">
        <v>101</v>
      </c>
      <c r="B68" s="24" t="s">
        <v>79</v>
      </c>
      <c r="C68" s="24"/>
      <c r="D68" s="13" t="s">
        <v>88</v>
      </c>
    </row>
    <row r="69" spans="1:4" ht="26.25" customHeight="1">
      <c r="A69" s="13" t="s">
        <v>102</v>
      </c>
      <c r="B69" s="24" t="s">
        <v>79</v>
      </c>
      <c r="C69" s="24"/>
      <c r="D69" s="13" t="s">
        <v>60</v>
      </c>
    </row>
    <row r="70" spans="1:4" ht="30" customHeight="1">
      <c r="A70" s="13" t="s">
        <v>103</v>
      </c>
      <c r="B70" s="24" t="s">
        <v>79</v>
      </c>
      <c r="C70" s="24"/>
      <c r="D70" s="13" t="s">
        <v>104</v>
      </c>
    </row>
    <row r="71" spans="1:4" ht="25.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4.75" customHeight="1">
      <c r="A73" s="13" t="s">
        <v>89</v>
      </c>
      <c r="B73" s="24" t="s">
        <v>79</v>
      </c>
      <c r="C73" s="24"/>
      <c r="D73" s="13" t="s">
        <v>40</v>
      </c>
    </row>
    <row r="74" spans="1:4" ht="25.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4" ht="27.75" customHeight="1">
      <c r="A76" s="13" t="s">
        <v>111</v>
      </c>
      <c r="B76" s="14" t="s">
        <v>112</v>
      </c>
      <c r="C76" s="15">
        <f>87*1.15*12</f>
        <v>1200.6</v>
      </c>
      <c r="D76" s="32" t="s">
        <v>69</v>
      </c>
    </row>
    <row r="77" spans="1:4" ht="12.75">
      <c r="A77" s="13" t="s">
        <v>113</v>
      </c>
      <c r="B77" s="33" t="s">
        <v>112</v>
      </c>
      <c r="C77" s="15">
        <f>0.75*1*2*51</f>
        <v>76.5</v>
      </c>
      <c r="D77" s="32" t="s">
        <v>114</v>
      </c>
    </row>
    <row r="78" spans="1:4" ht="12.75">
      <c r="A78" s="13" t="s">
        <v>115</v>
      </c>
      <c r="B78" s="14" t="s">
        <v>67</v>
      </c>
      <c r="C78" s="15">
        <v>1</v>
      </c>
      <c r="D78" s="32" t="s">
        <v>116</v>
      </c>
    </row>
    <row r="79" spans="1:4" ht="12.75" customHeight="1">
      <c r="A79" s="28" t="s">
        <v>117</v>
      </c>
      <c r="B79" s="28"/>
      <c r="C79" s="117"/>
      <c r="D79" s="30"/>
    </row>
    <row r="80" spans="1:4" ht="12.75">
      <c r="A80" s="35" t="s">
        <v>118</v>
      </c>
      <c r="B80" s="36"/>
      <c r="C80" s="60"/>
      <c r="D80" s="38"/>
    </row>
    <row r="81" spans="1:4" ht="12.75">
      <c r="A81" s="39" t="s">
        <v>119</v>
      </c>
      <c r="B81" s="40" t="s">
        <v>39</v>
      </c>
      <c r="C81" s="41">
        <f>4.8</f>
        <v>4.8</v>
      </c>
      <c r="D81" s="42"/>
    </row>
    <row r="82" spans="1:4" ht="12.75">
      <c r="A82" s="39" t="s">
        <v>120</v>
      </c>
      <c r="B82" s="40" t="s">
        <v>67</v>
      </c>
      <c r="C82" s="40">
        <f>1+1</f>
        <v>2</v>
      </c>
      <c r="D82" s="42"/>
    </row>
    <row r="83" spans="1:4" ht="12.75">
      <c r="A83" s="35" t="s">
        <v>126</v>
      </c>
      <c r="B83" s="36"/>
      <c r="C83" s="36"/>
      <c r="D83" s="45"/>
    </row>
    <row r="84" spans="1:4" ht="12.75">
      <c r="A84" s="43" t="s">
        <v>127</v>
      </c>
      <c r="B84" s="46" t="s">
        <v>67</v>
      </c>
      <c r="C84" s="40">
        <f>4</f>
        <v>4</v>
      </c>
      <c r="D84" s="42"/>
    </row>
    <row r="85" spans="1:4" ht="12.75">
      <c r="A85" s="43" t="s">
        <v>212</v>
      </c>
      <c r="B85" s="46" t="s">
        <v>67</v>
      </c>
      <c r="C85" s="41">
        <f>1</f>
        <v>1</v>
      </c>
      <c r="D85" s="42"/>
    </row>
    <row r="86" spans="1:4" ht="12.75">
      <c r="A86" s="43" t="s">
        <v>129</v>
      </c>
      <c r="B86" s="40" t="s">
        <v>67</v>
      </c>
      <c r="C86" s="41">
        <v>1</v>
      </c>
      <c r="D86" s="68" t="s">
        <v>186</v>
      </c>
    </row>
    <row r="87" spans="1:4" ht="12.75">
      <c r="A87" s="43" t="s">
        <v>356</v>
      </c>
      <c r="B87" s="40" t="s">
        <v>67</v>
      </c>
      <c r="C87" s="41">
        <v>1</v>
      </c>
      <c r="D87" s="42"/>
    </row>
    <row r="88" spans="1:4" s="1" customFormat="1" ht="12.75">
      <c r="A88" s="43" t="s">
        <v>131</v>
      </c>
      <c r="B88" s="41" t="s">
        <v>67</v>
      </c>
      <c r="C88" s="41">
        <v>1</v>
      </c>
      <c r="D88" s="68" t="s">
        <v>186</v>
      </c>
    </row>
    <row r="89" spans="1:4" ht="12.75">
      <c r="A89" s="43" t="s">
        <v>132</v>
      </c>
      <c r="B89" s="40" t="s">
        <v>133</v>
      </c>
      <c r="C89" s="41">
        <f>3+9.5</f>
        <v>12.5</v>
      </c>
      <c r="D89" s="42"/>
    </row>
    <row r="90" spans="1:4" ht="12.75">
      <c r="A90" s="43" t="s">
        <v>190</v>
      </c>
      <c r="B90" s="40" t="s">
        <v>67</v>
      </c>
      <c r="C90" s="41">
        <v>1</v>
      </c>
      <c r="D90" s="42"/>
    </row>
    <row r="91" spans="1:4" ht="12.75">
      <c r="A91" s="43" t="s">
        <v>134</v>
      </c>
      <c r="B91" s="40" t="s">
        <v>39</v>
      </c>
      <c r="C91" s="41">
        <f>1.2+0.6+0.8+4.3+0.6+0.5+1.8+1.4</f>
        <v>11.2</v>
      </c>
      <c r="D91" s="42"/>
    </row>
    <row r="92" spans="1:4" ht="12.75">
      <c r="A92" s="43" t="s">
        <v>277</v>
      </c>
      <c r="B92" s="40" t="s">
        <v>67</v>
      </c>
      <c r="C92" s="41">
        <v>3</v>
      </c>
      <c r="D92" s="42"/>
    </row>
    <row r="93" spans="1:4" ht="12.75">
      <c r="A93" s="43" t="s">
        <v>135</v>
      </c>
      <c r="B93" s="40" t="s">
        <v>67</v>
      </c>
      <c r="C93" s="41">
        <f>1+2</f>
        <v>3</v>
      </c>
      <c r="D93" s="42"/>
    </row>
    <row r="94" spans="1:4" ht="12.75">
      <c r="A94" s="88" t="s">
        <v>267</v>
      </c>
      <c r="B94" s="40" t="s">
        <v>122</v>
      </c>
      <c r="C94" s="41">
        <f>1</f>
        <v>1</v>
      </c>
      <c r="D94" s="42"/>
    </row>
    <row r="95" spans="1:4" ht="12.75">
      <c r="A95" s="88" t="s">
        <v>268</v>
      </c>
      <c r="B95" s="40" t="s">
        <v>67</v>
      </c>
      <c r="C95" s="41">
        <v>1</v>
      </c>
      <c r="D95" s="42"/>
    </row>
    <row r="96" spans="1:4" ht="12.75">
      <c r="A96" s="35" t="s">
        <v>238</v>
      </c>
      <c r="B96" s="36"/>
      <c r="C96" s="36"/>
      <c r="D96" s="45"/>
    </row>
    <row r="97" spans="1:4" ht="12.75">
      <c r="A97" s="43" t="s">
        <v>239</v>
      </c>
      <c r="B97" s="40" t="s">
        <v>133</v>
      </c>
      <c r="C97" s="40">
        <f>80</f>
        <v>80</v>
      </c>
      <c r="D97" s="42"/>
    </row>
    <row r="98" spans="1:4" ht="12.75">
      <c r="A98" s="35" t="s">
        <v>213</v>
      </c>
      <c r="B98" s="36"/>
      <c r="C98" s="36"/>
      <c r="D98" s="45"/>
    </row>
    <row r="99" spans="1:4" s="1" customFormat="1" ht="12.75">
      <c r="A99" s="80" t="s">
        <v>241</v>
      </c>
      <c r="B99" s="41" t="s">
        <v>67</v>
      </c>
      <c r="C99" s="41">
        <v>1</v>
      </c>
      <c r="D99" s="68"/>
    </row>
    <row r="100" spans="1:4" ht="12.75">
      <c r="A100" s="49" t="s">
        <v>141</v>
      </c>
      <c r="B100" s="36"/>
      <c r="C100" s="36"/>
      <c r="D100" s="45"/>
    </row>
    <row r="101" spans="1:4" ht="12.75">
      <c r="A101" s="52" t="s">
        <v>256</v>
      </c>
      <c r="B101" s="40" t="s">
        <v>133</v>
      </c>
      <c r="C101" s="40">
        <v>7</v>
      </c>
      <c r="D101" s="42"/>
    </row>
    <row r="102" spans="1:4" ht="12.75">
      <c r="A102" s="49" t="s">
        <v>145</v>
      </c>
      <c r="B102" s="36"/>
      <c r="C102" s="36"/>
      <c r="D102" s="45"/>
    </row>
    <row r="103" spans="1:4" s="1" customFormat="1" ht="12.75">
      <c r="A103" s="80" t="s">
        <v>147</v>
      </c>
      <c r="B103" s="41" t="s">
        <v>67</v>
      </c>
      <c r="C103" s="41">
        <v>1</v>
      </c>
      <c r="D103" s="68" t="s">
        <v>130</v>
      </c>
    </row>
    <row r="104" spans="1:4" ht="12.75">
      <c r="A104" s="52" t="s">
        <v>149</v>
      </c>
      <c r="B104" s="40" t="s">
        <v>67</v>
      </c>
      <c r="C104" s="40">
        <v>1</v>
      </c>
      <c r="D104" s="42"/>
    </row>
    <row r="105" spans="1:4" ht="12.75">
      <c r="A105" s="49" t="s">
        <v>157</v>
      </c>
      <c r="B105" s="36"/>
      <c r="C105" s="36"/>
      <c r="D105" s="45"/>
    </row>
    <row r="106" spans="1:4" ht="12.75">
      <c r="A106" s="51" t="s">
        <v>158</v>
      </c>
      <c r="B106" s="40" t="s">
        <v>67</v>
      </c>
      <c r="C106" s="40">
        <f>1+1+2</f>
        <v>4</v>
      </c>
      <c r="D106" s="42"/>
    </row>
    <row r="107" spans="1:4" ht="12.75">
      <c r="A107" s="51" t="s">
        <v>160</v>
      </c>
      <c r="B107" s="40" t="s">
        <v>67</v>
      </c>
      <c r="C107" s="40">
        <v>1</v>
      </c>
      <c r="D107" s="42"/>
    </row>
    <row r="108" spans="1:4" ht="12.75">
      <c r="A108" s="35" t="s">
        <v>161</v>
      </c>
      <c r="B108" s="36"/>
      <c r="C108" s="60"/>
      <c r="D108" s="45"/>
    </row>
    <row r="109" spans="1:4" ht="12.75">
      <c r="A109" s="54" t="s">
        <v>162</v>
      </c>
      <c r="B109" s="55" t="s">
        <v>39</v>
      </c>
      <c r="C109" s="56">
        <v>395</v>
      </c>
      <c r="D109" s="68" t="s">
        <v>44</v>
      </c>
    </row>
    <row r="110" spans="1:4" ht="12.75">
      <c r="A110" s="54" t="s">
        <v>163</v>
      </c>
      <c r="B110" s="58" t="s">
        <v>39</v>
      </c>
      <c r="C110" s="56">
        <v>395</v>
      </c>
      <c r="D110" s="89" t="s">
        <v>164</v>
      </c>
    </row>
    <row r="111" spans="1:4" ht="12.75">
      <c r="A111" s="35" t="s">
        <v>165</v>
      </c>
      <c r="B111" s="36"/>
      <c r="C111" s="60"/>
      <c r="D111" s="45"/>
    </row>
    <row r="112" spans="1:4" ht="12.75">
      <c r="A112" s="54" t="s">
        <v>162</v>
      </c>
      <c r="B112" s="55" t="s">
        <v>39</v>
      </c>
      <c r="C112" s="56">
        <f>395+26.88</f>
        <v>421.88</v>
      </c>
      <c r="D112" s="68" t="s">
        <v>44</v>
      </c>
    </row>
    <row r="113" spans="1:4" ht="12.75">
      <c r="A113" s="54" t="s">
        <v>163</v>
      </c>
      <c r="B113" s="55" t="s">
        <v>39</v>
      </c>
      <c r="C113" s="56">
        <f>395+26.88</f>
        <v>421.88</v>
      </c>
      <c r="D113" s="89" t="s">
        <v>164</v>
      </c>
    </row>
    <row r="114" spans="1:4" ht="12.75">
      <c r="A114" s="35" t="s">
        <v>166</v>
      </c>
      <c r="B114" s="36"/>
      <c r="C114" s="60"/>
      <c r="D114" s="45"/>
    </row>
    <row r="115" spans="1:4" ht="12.75">
      <c r="A115" s="54" t="s">
        <v>162</v>
      </c>
      <c r="B115" s="55" t="s">
        <v>39</v>
      </c>
      <c r="C115" s="56">
        <f>395+118.6+101.9</f>
        <v>615.5</v>
      </c>
      <c r="D115" s="47" t="s">
        <v>175</v>
      </c>
    </row>
    <row r="116" spans="1:4" ht="12.75">
      <c r="A116" s="54" t="s">
        <v>163</v>
      </c>
      <c r="B116" s="58" t="s">
        <v>39</v>
      </c>
      <c r="C116" s="56">
        <f>395+118.6+101.9</f>
        <v>615.5</v>
      </c>
      <c r="D116" s="89" t="s">
        <v>164</v>
      </c>
    </row>
    <row r="117" spans="1:4" ht="12.75">
      <c r="A117" s="35" t="s">
        <v>168</v>
      </c>
      <c r="B117" s="36"/>
      <c r="C117" s="60"/>
      <c r="D117" s="45"/>
    </row>
    <row r="118" spans="1:5" ht="12.75">
      <c r="A118" s="54" t="s">
        <v>169</v>
      </c>
      <c r="B118" s="55" t="s">
        <v>170</v>
      </c>
      <c r="C118" s="66" t="s">
        <v>357</v>
      </c>
      <c r="D118" s="68" t="s">
        <v>44</v>
      </c>
      <c r="E118" s="67"/>
    </row>
    <row r="119" spans="1:4" ht="12.75">
      <c r="A119" s="54" t="s">
        <v>172</v>
      </c>
      <c r="B119" s="55" t="s">
        <v>170</v>
      </c>
      <c r="C119" s="66" t="s">
        <v>357</v>
      </c>
      <c r="D119" s="85" t="s">
        <v>358</v>
      </c>
    </row>
    <row r="120" spans="1:4" ht="12.75">
      <c r="A120" s="69" t="s">
        <v>174</v>
      </c>
      <c r="B120" s="55" t="s">
        <v>170</v>
      </c>
      <c r="C120" s="55">
        <v>1</v>
      </c>
      <c r="D120" s="68" t="s">
        <v>175</v>
      </c>
    </row>
    <row r="121" ht="12.75">
      <c r="A121" s="90"/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2:D127"/>
  <sheetViews>
    <sheetView workbookViewId="0" topLeftCell="A106">
      <selection activeCell="A128" sqref="A128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2" spans="1:3" ht="12.75">
      <c r="A2" s="2" t="s">
        <v>0</v>
      </c>
      <c r="B2" s="2"/>
      <c r="C2" s="2"/>
    </row>
    <row r="3" spans="1:3" ht="12.75">
      <c r="A3" s="2" t="s">
        <v>1</v>
      </c>
      <c r="B3" s="2"/>
      <c r="C3" s="2"/>
    </row>
    <row r="4" spans="1:3" ht="12.75">
      <c r="A4" s="2" t="s">
        <v>2</v>
      </c>
      <c r="B4" s="2"/>
      <c r="C4" s="2"/>
    </row>
    <row r="5" spans="1:3" ht="22.5" customHeight="1">
      <c r="A5" s="3" t="s">
        <v>359</v>
      </c>
      <c r="B5" s="3"/>
      <c r="C5" s="3"/>
    </row>
    <row r="6" spans="1:3" ht="18.75" customHeight="1">
      <c r="A6" s="2" t="s">
        <v>4</v>
      </c>
      <c r="B6" s="2"/>
      <c r="C6" s="2"/>
    </row>
    <row r="8" spans="1:3" ht="12.75">
      <c r="A8" s="1" t="s">
        <v>5</v>
      </c>
      <c r="C8" s="4" t="s">
        <v>360</v>
      </c>
    </row>
    <row r="9" spans="1:3" ht="12.75">
      <c r="A9" s="1" t="s">
        <v>7</v>
      </c>
      <c r="C9" s="4" t="s">
        <v>361</v>
      </c>
    </row>
    <row r="10" spans="1:3" ht="12.75">
      <c r="A10" s="1" t="s">
        <v>9</v>
      </c>
      <c r="C10" s="7"/>
    </row>
    <row r="11" ht="12.75">
      <c r="C11" s="7"/>
    </row>
    <row r="12" spans="1:3" ht="12.75">
      <c r="A12" s="1" t="s">
        <v>11</v>
      </c>
      <c r="C12" s="7" t="s">
        <v>362</v>
      </c>
    </row>
    <row r="13" spans="1:3" ht="12.75">
      <c r="A13" s="1" t="s">
        <v>13</v>
      </c>
      <c r="C13" s="7"/>
    </row>
    <row r="14" spans="1:3" ht="12.75">
      <c r="A14" s="1" t="s">
        <v>14</v>
      </c>
      <c r="C14" s="7"/>
    </row>
    <row r="15" spans="1:3" ht="12.75">
      <c r="A15" s="1" t="s">
        <v>15</v>
      </c>
      <c r="B15" s="1" t="s">
        <v>16</v>
      </c>
      <c r="C15" s="7"/>
    </row>
    <row r="16" spans="1:3" ht="12.75">
      <c r="A16" s="1" t="s">
        <v>17</v>
      </c>
      <c r="B16" s="1" t="s">
        <v>231</v>
      </c>
      <c r="C16" s="7"/>
    </row>
    <row r="17" spans="1:3" ht="12.75">
      <c r="A17" s="1" t="s">
        <v>19</v>
      </c>
      <c r="B17" s="1" t="s">
        <v>20</v>
      </c>
      <c r="C17" s="7"/>
    </row>
    <row r="18" spans="1:3" ht="12.75">
      <c r="A18" s="1" t="s">
        <v>21</v>
      </c>
      <c r="B18" s="1" t="s">
        <v>22</v>
      </c>
      <c r="C18" s="7"/>
    </row>
    <row r="19" spans="1:3" ht="12.75">
      <c r="A19" s="1" t="s">
        <v>23</v>
      </c>
      <c r="B19" s="1" t="s">
        <v>232</v>
      </c>
      <c r="C19" s="7"/>
    </row>
    <row r="20" spans="1:3" ht="12.75">
      <c r="A20" s="1" t="s">
        <v>25</v>
      </c>
      <c r="B20" s="1" t="s">
        <v>26</v>
      </c>
      <c r="C20" s="7"/>
    </row>
    <row r="21" spans="1:3" ht="12.75">
      <c r="A21" s="1" t="s">
        <v>27</v>
      </c>
      <c r="B21" s="1" t="s">
        <v>28</v>
      </c>
      <c r="C21" s="7"/>
    </row>
    <row r="22" spans="1:3" ht="12.75">
      <c r="A22" s="1" t="s">
        <v>29</v>
      </c>
      <c r="C22" s="7"/>
    </row>
    <row r="23" spans="1:3" ht="12.75">
      <c r="A23" s="1" t="s">
        <v>30</v>
      </c>
      <c r="B23" s="1" t="s">
        <v>31</v>
      </c>
      <c r="C23" s="7"/>
    </row>
    <row r="24" ht="12.75">
      <c r="C24" s="83"/>
    </row>
    <row r="25" spans="1:3" ht="12.75">
      <c r="A25" s="1" t="s">
        <v>32</v>
      </c>
      <c r="C25" s="71">
        <v>0.8278</v>
      </c>
    </row>
    <row r="26" spans="1:3" ht="12.75">
      <c r="A26" s="72"/>
      <c r="C26" s="7"/>
    </row>
    <row r="27" spans="1:3" ht="12.75" customHeight="1">
      <c r="A27" s="10" t="s">
        <v>33</v>
      </c>
      <c r="B27" s="10"/>
      <c r="C27" s="10"/>
    </row>
    <row r="29" spans="1:4" ht="12.75">
      <c r="A29" s="11" t="s">
        <v>34</v>
      </c>
      <c r="B29" s="11" t="s">
        <v>35</v>
      </c>
      <c r="C29" s="11" t="s">
        <v>36</v>
      </c>
      <c r="D29" s="12" t="s">
        <v>37</v>
      </c>
    </row>
    <row r="30" spans="1:4" ht="25.5">
      <c r="A30" s="13" t="s">
        <v>38</v>
      </c>
      <c r="B30" s="14" t="s">
        <v>39</v>
      </c>
      <c r="C30" s="15">
        <v>547</v>
      </c>
      <c r="D30" s="16" t="s">
        <v>40</v>
      </c>
    </row>
    <row r="31" spans="1:4" ht="12.75">
      <c r="A31" s="13" t="s">
        <v>41</v>
      </c>
      <c r="B31" s="14" t="s">
        <v>39</v>
      </c>
      <c r="C31" s="15">
        <v>547</v>
      </c>
      <c r="D31" s="16" t="s">
        <v>42</v>
      </c>
    </row>
    <row r="32" spans="1:4" ht="51">
      <c r="A32" s="13" t="s">
        <v>43</v>
      </c>
      <c r="B32" s="14" t="s">
        <v>39</v>
      </c>
      <c r="C32" s="15">
        <v>2167</v>
      </c>
      <c r="D32" s="16" t="s">
        <v>44</v>
      </c>
    </row>
    <row r="33" spans="1:4" ht="12.75">
      <c r="A33" s="13" t="s">
        <v>45</v>
      </c>
      <c r="B33" s="14" t="s">
        <v>39</v>
      </c>
      <c r="C33" s="15">
        <v>10</v>
      </c>
      <c r="D33" s="16" t="s">
        <v>46</v>
      </c>
    </row>
    <row r="34" spans="1:4" ht="25.5">
      <c r="A34" s="13" t="s">
        <v>47</v>
      </c>
      <c r="B34" s="17" t="s">
        <v>39</v>
      </c>
      <c r="C34" s="15">
        <v>29</v>
      </c>
      <c r="D34" s="16" t="s">
        <v>48</v>
      </c>
    </row>
    <row r="35" spans="1:4" ht="25.5">
      <c r="A35" s="13" t="s">
        <v>49</v>
      </c>
      <c r="B35" s="17" t="s">
        <v>50</v>
      </c>
      <c r="C35" s="73">
        <v>547</v>
      </c>
      <c r="D35" s="16" t="s">
        <v>51</v>
      </c>
    </row>
    <row r="36" spans="1:4" ht="25.5">
      <c r="A36" s="13" t="s">
        <v>52</v>
      </c>
      <c r="B36" s="17" t="s">
        <v>39</v>
      </c>
      <c r="C36" s="15">
        <v>645</v>
      </c>
      <c r="D36" s="16" t="s">
        <v>53</v>
      </c>
    </row>
    <row r="37" spans="1:4" ht="12.75">
      <c r="A37" s="13" t="s">
        <v>54</v>
      </c>
      <c r="B37" s="17" t="s">
        <v>39</v>
      </c>
      <c r="C37" s="15"/>
      <c r="D37" s="16" t="s">
        <v>233</v>
      </c>
    </row>
    <row r="38" spans="1:4" ht="12.75">
      <c r="A38" s="13" t="s">
        <v>56</v>
      </c>
      <c r="B38" s="17" t="s">
        <v>39</v>
      </c>
      <c r="C38" s="15"/>
      <c r="D38" s="16" t="s">
        <v>233</v>
      </c>
    </row>
    <row r="39" spans="1:4" ht="25.5">
      <c r="A39" s="13" t="s">
        <v>59</v>
      </c>
      <c r="B39" s="17" t="s">
        <v>39</v>
      </c>
      <c r="C39" s="15"/>
      <c r="D39" s="16" t="s">
        <v>233</v>
      </c>
    </row>
    <row r="40" spans="1:4" ht="12.75">
      <c r="A40" s="13" t="s">
        <v>61</v>
      </c>
      <c r="B40" s="17" t="s">
        <v>39</v>
      </c>
      <c r="C40" s="15">
        <v>1917.2</v>
      </c>
      <c r="D40" s="16" t="s">
        <v>46</v>
      </c>
    </row>
    <row r="41" spans="1:4" ht="25.5">
      <c r="A41" s="13" t="s">
        <v>62</v>
      </c>
      <c r="B41" s="17" t="s">
        <v>39</v>
      </c>
      <c r="C41" s="73">
        <v>547</v>
      </c>
      <c r="D41" s="16" t="s">
        <v>53</v>
      </c>
    </row>
    <row r="42" spans="1:4" ht="12.75">
      <c r="A42" s="13" t="s">
        <v>63</v>
      </c>
      <c r="B42" s="17" t="s">
        <v>39</v>
      </c>
      <c r="C42" s="15"/>
      <c r="D42" s="16" t="s">
        <v>233</v>
      </c>
    </row>
    <row r="43" spans="1:4" ht="12.75">
      <c r="A43" s="13" t="s">
        <v>64</v>
      </c>
      <c r="B43" s="17" t="s">
        <v>39</v>
      </c>
      <c r="C43" s="15"/>
      <c r="D43" s="16" t="s">
        <v>233</v>
      </c>
    </row>
    <row r="44" spans="1:4" ht="12.75">
      <c r="A44" s="13" t="s">
        <v>65</v>
      </c>
      <c r="B44" s="17" t="s">
        <v>39</v>
      </c>
      <c r="C44" s="15"/>
      <c r="D44" s="16" t="s">
        <v>233</v>
      </c>
    </row>
    <row r="45" spans="1:4" ht="12.75">
      <c r="A45" s="13" t="s">
        <v>66</v>
      </c>
      <c r="B45" s="17" t="s">
        <v>67</v>
      </c>
      <c r="C45" s="15"/>
      <c r="D45" s="16" t="s">
        <v>233</v>
      </c>
    </row>
    <row r="46" spans="1:4" ht="25.5">
      <c r="A46" s="13" t="s">
        <v>68</v>
      </c>
      <c r="B46" s="17" t="s">
        <v>67</v>
      </c>
      <c r="C46" s="15"/>
      <c r="D46" s="16" t="s">
        <v>233</v>
      </c>
    </row>
    <row r="47" spans="1:4" ht="12.75">
      <c r="A47" s="13" t="s">
        <v>70</v>
      </c>
      <c r="B47" s="17" t="s">
        <v>39</v>
      </c>
      <c r="C47" s="15"/>
      <c r="D47" s="16" t="s">
        <v>233</v>
      </c>
    </row>
    <row r="48" spans="1:4" ht="12.75">
      <c r="A48" s="13" t="s">
        <v>72</v>
      </c>
      <c r="B48" s="17" t="s">
        <v>39</v>
      </c>
      <c r="C48" s="15"/>
      <c r="D48" s="16" t="s">
        <v>233</v>
      </c>
    </row>
    <row r="49" spans="1:4" ht="25.5">
      <c r="A49" s="13" t="s">
        <v>73</v>
      </c>
      <c r="B49" s="17" t="s">
        <v>67</v>
      </c>
      <c r="C49" s="15"/>
      <c r="D49" s="16" t="s">
        <v>233</v>
      </c>
    </row>
    <row r="50" spans="1:4" ht="12.75">
      <c r="A50" s="13" t="s">
        <v>74</v>
      </c>
      <c r="B50" s="17" t="s">
        <v>39</v>
      </c>
      <c r="C50" s="15">
        <v>920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25.5" customHeight="1">
      <c r="A56" s="13" t="s">
        <v>82</v>
      </c>
      <c r="B56" s="24" t="s">
        <v>79</v>
      </c>
      <c r="C56" s="24"/>
      <c r="D56" s="13" t="s">
        <v>83</v>
      </c>
    </row>
    <row r="57" spans="1:4" ht="25.5" customHeight="1">
      <c r="A57" s="13" t="s">
        <v>84</v>
      </c>
      <c r="B57" s="24" t="s">
        <v>79</v>
      </c>
      <c r="C57" s="24"/>
      <c r="D57" s="13" t="s">
        <v>83</v>
      </c>
    </row>
    <row r="58" spans="1:4" ht="26.25" customHeight="1">
      <c r="A58" s="13" t="s">
        <v>85</v>
      </c>
      <c r="B58" s="24" t="s">
        <v>79</v>
      </c>
      <c r="C58" s="24"/>
      <c r="D58" s="13" t="s">
        <v>86</v>
      </c>
    </row>
    <row r="59" spans="1:4" ht="26.25" customHeight="1">
      <c r="A59" s="13" t="s">
        <v>87</v>
      </c>
      <c r="B59" s="24" t="s">
        <v>79</v>
      </c>
      <c r="C59" s="24"/>
      <c r="D59" s="13" t="s">
        <v>88</v>
      </c>
    </row>
    <row r="60" spans="1:4" ht="25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5.5" customHeight="1">
      <c r="A62" s="13" t="s">
        <v>91</v>
      </c>
      <c r="B62" s="24" t="s">
        <v>79</v>
      </c>
      <c r="C62" s="24"/>
      <c r="D62" s="13" t="s">
        <v>92</v>
      </c>
    </row>
    <row r="63" spans="1:4" ht="28.5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7.75" customHeight="1">
      <c r="A65" s="13" t="s">
        <v>96</v>
      </c>
      <c r="B65" s="24" t="s">
        <v>79</v>
      </c>
      <c r="C65" s="24"/>
      <c r="D65" s="13" t="s">
        <v>88</v>
      </c>
    </row>
    <row r="66" spans="1:4" ht="25.5" customHeight="1">
      <c r="A66" s="13" t="s">
        <v>97</v>
      </c>
      <c r="B66" s="24" t="s">
        <v>79</v>
      </c>
      <c r="C66" s="24"/>
      <c r="D66" s="13" t="s">
        <v>98</v>
      </c>
    </row>
    <row r="67" spans="1:4" ht="25.5" customHeight="1">
      <c r="A67" s="13" t="s">
        <v>99</v>
      </c>
      <c r="B67" s="24" t="s">
        <v>79</v>
      </c>
      <c r="C67" s="24"/>
      <c r="D67" s="13" t="s">
        <v>100</v>
      </c>
    </row>
    <row r="68" spans="1:4" ht="27.75" customHeight="1">
      <c r="A68" s="13" t="s">
        <v>101</v>
      </c>
      <c r="B68" s="24" t="s">
        <v>79</v>
      </c>
      <c r="C68" s="24"/>
      <c r="D68" s="13" t="s">
        <v>88</v>
      </c>
    </row>
    <row r="69" spans="1:4" ht="26.25" customHeight="1">
      <c r="A69" s="13" t="s">
        <v>102</v>
      </c>
      <c r="B69" s="24" t="s">
        <v>79</v>
      </c>
      <c r="C69" s="24"/>
      <c r="D69" s="13" t="s">
        <v>60</v>
      </c>
    </row>
    <row r="70" spans="1:4" ht="30" customHeight="1">
      <c r="A70" s="13" t="s">
        <v>103</v>
      </c>
      <c r="B70" s="24" t="s">
        <v>79</v>
      </c>
      <c r="C70" s="24"/>
      <c r="D70" s="13" t="s">
        <v>104</v>
      </c>
    </row>
    <row r="71" spans="1:4" ht="25.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4.75" customHeight="1">
      <c r="A73" s="13" t="s">
        <v>89</v>
      </c>
      <c r="B73" s="24" t="s">
        <v>79</v>
      </c>
      <c r="C73" s="24"/>
      <c r="D73" s="13" t="s">
        <v>40</v>
      </c>
    </row>
    <row r="74" spans="1:4" ht="25.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4" ht="27.75" customHeight="1">
      <c r="A76" s="13" t="s">
        <v>111</v>
      </c>
      <c r="B76" s="14" t="s">
        <v>112</v>
      </c>
      <c r="C76" s="15">
        <f>222*1.15*12</f>
        <v>3063.6</v>
      </c>
      <c r="D76" s="74" t="s">
        <v>69</v>
      </c>
    </row>
    <row r="77" spans="1:4" ht="12.75">
      <c r="A77" s="13" t="s">
        <v>113</v>
      </c>
      <c r="B77" s="33" t="s">
        <v>112</v>
      </c>
      <c r="C77" s="15">
        <f>0.75*2*2*51</f>
        <v>153</v>
      </c>
      <c r="D77" s="74" t="s">
        <v>114</v>
      </c>
    </row>
    <row r="78" spans="1:4" ht="12.75">
      <c r="A78" s="13" t="s">
        <v>115</v>
      </c>
      <c r="B78" s="14" t="s">
        <v>67</v>
      </c>
      <c r="C78" s="15">
        <v>4</v>
      </c>
      <c r="D78" s="74" t="s">
        <v>116</v>
      </c>
    </row>
    <row r="79" spans="1:4" ht="15" customHeight="1">
      <c r="A79" s="28" t="s">
        <v>117</v>
      </c>
      <c r="B79" s="28"/>
      <c r="C79" s="29"/>
      <c r="D79" s="30"/>
    </row>
    <row r="80" spans="1:4" ht="15" customHeight="1">
      <c r="A80" s="35" t="s">
        <v>118</v>
      </c>
      <c r="B80" s="36"/>
      <c r="C80" s="37"/>
      <c r="D80" s="38"/>
    </row>
    <row r="81" spans="1:4" ht="15" customHeight="1">
      <c r="A81" s="52" t="s">
        <v>288</v>
      </c>
      <c r="B81" s="40" t="s">
        <v>39</v>
      </c>
      <c r="C81" s="40">
        <v>70</v>
      </c>
      <c r="D81" s="42"/>
    </row>
    <row r="82" spans="1:4" ht="15" customHeight="1">
      <c r="A82" s="39" t="s">
        <v>183</v>
      </c>
      <c r="B82" s="40" t="s">
        <v>133</v>
      </c>
      <c r="C82" s="40">
        <v>30</v>
      </c>
      <c r="D82" s="42"/>
    </row>
    <row r="83" spans="1:4" ht="15" customHeight="1">
      <c r="A83" s="39" t="s">
        <v>121</v>
      </c>
      <c r="B83" s="40" t="s">
        <v>122</v>
      </c>
      <c r="C83" s="40">
        <v>4</v>
      </c>
      <c r="D83" s="42"/>
    </row>
    <row r="84" spans="1:4" ht="15" customHeight="1">
      <c r="A84" s="88" t="s">
        <v>237</v>
      </c>
      <c r="B84" s="40" t="s">
        <v>67</v>
      </c>
      <c r="C84" s="40">
        <f>2</f>
        <v>2</v>
      </c>
      <c r="D84" s="42"/>
    </row>
    <row r="85" spans="1:4" ht="15" customHeight="1">
      <c r="A85" s="35" t="s">
        <v>126</v>
      </c>
      <c r="B85" s="36"/>
      <c r="C85" s="36"/>
      <c r="D85" s="45"/>
    </row>
    <row r="86" spans="1:4" s="1" customFormat="1" ht="15" customHeight="1">
      <c r="A86" s="43" t="s">
        <v>128</v>
      </c>
      <c r="B86" s="118" t="s">
        <v>67</v>
      </c>
      <c r="C86" s="41">
        <v>4</v>
      </c>
      <c r="D86" s="68" t="s">
        <v>130</v>
      </c>
    </row>
    <row r="87" spans="1:4" ht="15" customHeight="1">
      <c r="A87" s="43" t="s">
        <v>129</v>
      </c>
      <c r="B87" s="40" t="s">
        <v>67</v>
      </c>
      <c r="C87" s="41">
        <f>4</f>
        <v>4</v>
      </c>
      <c r="D87" s="42"/>
    </row>
    <row r="88" spans="1:4" s="1" customFormat="1" ht="15" customHeight="1">
      <c r="A88" s="43" t="s">
        <v>131</v>
      </c>
      <c r="B88" s="41" t="s">
        <v>67</v>
      </c>
      <c r="C88" s="41">
        <v>2</v>
      </c>
      <c r="D88" s="68" t="s">
        <v>201</v>
      </c>
    </row>
    <row r="89" spans="1:4" ht="15" customHeight="1">
      <c r="A89" s="43" t="s">
        <v>189</v>
      </c>
      <c r="B89" s="40" t="s">
        <v>133</v>
      </c>
      <c r="C89" s="41">
        <f>3+3</f>
        <v>6</v>
      </c>
      <c r="D89" s="42"/>
    </row>
    <row r="90" spans="1:4" ht="15" customHeight="1">
      <c r="A90" s="43" t="s">
        <v>134</v>
      </c>
      <c r="B90" s="40" t="s">
        <v>39</v>
      </c>
      <c r="C90" s="41">
        <f>0.6+1.8+1.3+0.5</f>
        <v>4.2</v>
      </c>
      <c r="D90" s="42"/>
    </row>
    <row r="91" spans="1:4" ht="15" customHeight="1">
      <c r="A91" s="88" t="s">
        <v>267</v>
      </c>
      <c r="B91" s="40" t="s">
        <v>122</v>
      </c>
      <c r="C91" s="41">
        <v>1</v>
      </c>
      <c r="D91" s="42"/>
    </row>
    <row r="92" spans="1:4" ht="15" customHeight="1">
      <c r="A92" s="35" t="s">
        <v>238</v>
      </c>
      <c r="B92" s="36"/>
      <c r="C92" s="36"/>
      <c r="D92" s="45"/>
    </row>
    <row r="93" spans="1:4" ht="15" customHeight="1">
      <c r="A93" s="43" t="s">
        <v>239</v>
      </c>
      <c r="B93" s="40" t="s">
        <v>133</v>
      </c>
      <c r="C93" s="40">
        <f>68.2+1.6</f>
        <v>69.8</v>
      </c>
      <c r="D93" s="42"/>
    </row>
    <row r="94" spans="1:4" ht="15" customHeight="1">
      <c r="A94" s="35" t="s">
        <v>139</v>
      </c>
      <c r="B94" s="36"/>
      <c r="C94" s="36"/>
      <c r="D94" s="45"/>
    </row>
    <row r="95" spans="1:4" ht="15" customHeight="1">
      <c r="A95" s="39" t="s">
        <v>140</v>
      </c>
      <c r="B95" s="40" t="s">
        <v>39</v>
      </c>
      <c r="C95" s="40">
        <v>2.8</v>
      </c>
      <c r="D95" s="42"/>
    </row>
    <row r="96" spans="1:4" ht="15" customHeight="1">
      <c r="A96" s="35" t="s">
        <v>213</v>
      </c>
      <c r="B96" s="36"/>
      <c r="C96" s="36"/>
      <c r="D96" s="45"/>
    </row>
    <row r="97" spans="1:4" ht="15" customHeight="1">
      <c r="A97" s="43" t="s">
        <v>184</v>
      </c>
      <c r="B97" s="41" t="s">
        <v>39</v>
      </c>
      <c r="C97" s="41">
        <v>5.8</v>
      </c>
      <c r="D97" s="42"/>
    </row>
    <row r="98" spans="1:4" s="1" customFormat="1" ht="15" customHeight="1">
      <c r="A98" s="80" t="s">
        <v>241</v>
      </c>
      <c r="B98" s="41" t="s">
        <v>67</v>
      </c>
      <c r="C98" s="41">
        <v>2</v>
      </c>
      <c r="D98" s="68"/>
    </row>
    <row r="99" spans="1:4" ht="15" customHeight="1">
      <c r="A99" s="49" t="s">
        <v>141</v>
      </c>
      <c r="B99" s="36"/>
      <c r="C99" s="36"/>
      <c r="D99" s="45"/>
    </row>
    <row r="100" spans="1:4" ht="15" customHeight="1">
      <c r="A100" s="52" t="s">
        <v>255</v>
      </c>
      <c r="B100" s="84" t="s">
        <v>39</v>
      </c>
      <c r="C100" s="40">
        <v>6.7</v>
      </c>
      <c r="D100" s="42"/>
    </row>
    <row r="101" spans="1:4" ht="15" customHeight="1">
      <c r="A101" s="51" t="s">
        <v>216</v>
      </c>
      <c r="B101" s="41" t="s">
        <v>67</v>
      </c>
      <c r="C101" s="40">
        <f>1+1+1+1</f>
        <v>4</v>
      </c>
      <c r="D101" s="42"/>
    </row>
    <row r="102" spans="1:4" ht="15" customHeight="1">
      <c r="A102" s="51" t="s">
        <v>218</v>
      </c>
      <c r="B102" s="41" t="s">
        <v>39</v>
      </c>
      <c r="C102" s="41">
        <f>10+10</f>
        <v>20</v>
      </c>
      <c r="D102" s="42"/>
    </row>
    <row r="103" spans="1:4" s="1" customFormat="1" ht="15" customHeight="1">
      <c r="A103" s="43" t="s">
        <v>220</v>
      </c>
      <c r="B103" s="41" t="s">
        <v>67</v>
      </c>
      <c r="C103" s="41">
        <f>1</f>
        <v>1</v>
      </c>
      <c r="D103" s="68"/>
    </row>
    <row r="104" spans="1:4" ht="15" customHeight="1">
      <c r="A104" s="51" t="s">
        <v>143</v>
      </c>
      <c r="B104" s="40" t="s">
        <v>67</v>
      </c>
      <c r="C104" s="41">
        <f>5</f>
        <v>5</v>
      </c>
      <c r="D104" s="42"/>
    </row>
    <row r="105" spans="1:4" ht="15" customHeight="1">
      <c r="A105" s="49" t="s">
        <v>145</v>
      </c>
      <c r="B105" s="36"/>
      <c r="C105" s="36"/>
      <c r="D105" s="45"/>
    </row>
    <row r="106" spans="1:4" ht="15" customHeight="1">
      <c r="A106" s="52" t="s">
        <v>194</v>
      </c>
      <c r="B106" s="41" t="s">
        <v>133</v>
      </c>
      <c r="C106" s="40">
        <f>6+17</f>
        <v>23</v>
      </c>
      <c r="D106" s="42"/>
    </row>
    <row r="107" spans="1:4" ht="15" customHeight="1">
      <c r="A107" s="52" t="s">
        <v>148</v>
      </c>
      <c r="B107" s="40" t="s">
        <v>67</v>
      </c>
      <c r="C107" s="40">
        <v>2</v>
      </c>
      <c r="D107" s="42"/>
    </row>
    <row r="108" spans="1:4" ht="15" customHeight="1">
      <c r="A108" s="52" t="s">
        <v>149</v>
      </c>
      <c r="B108" s="40" t="s">
        <v>67</v>
      </c>
      <c r="C108" s="40">
        <v>4</v>
      </c>
      <c r="D108" s="42"/>
    </row>
    <row r="109" spans="1:4" s="1" customFormat="1" ht="15" customHeight="1">
      <c r="A109" s="80" t="s">
        <v>151</v>
      </c>
      <c r="B109" s="41" t="s">
        <v>39</v>
      </c>
      <c r="C109" s="41">
        <v>750</v>
      </c>
      <c r="D109" s="68" t="s">
        <v>186</v>
      </c>
    </row>
    <row r="110" spans="1:4" ht="15" customHeight="1">
      <c r="A110" s="52" t="s">
        <v>331</v>
      </c>
      <c r="B110" s="41" t="s">
        <v>67</v>
      </c>
      <c r="C110" s="40">
        <v>2</v>
      </c>
      <c r="D110" s="42"/>
    </row>
    <row r="111" spans="1:4" ht="15" customHeight="1">
      <c r="A111" s="49" t="s">
        <v>157</v>
      </c>
      <c r="B111" s="36"/>
      <c r="C111" s="36"/>
      <c r="D111" s="45"/>
    </row>
    <row r="112" spans="1:4" ht="15" customHeight="1">
      <c r="A112" s="51" t="s">
        <v>203</v>
      </c>
      <c r="B112" s="40" t="s">
        <v>67</v>
      </c>
      <c r="C112" s="40">
        <v>2</v>
      </c>
      <c r="D112" s="42"/>
    </row>
    <row r="113" spans="1:4" s="1" customFormat="1" ht="15" customHeight="1">
      <c r="A113" s="80" t="s">
        <v>202</v>
      </c>
      <c r="B113" s="41" t="s">
        <v>39</v>
      </c>
      <c r="C113" s="41">
        <v>90</v>
      </c>
      <c r="D113" s="68" t="s">
        <v>186</v>
      </c>
    </row>
    <row r="114" spans="1:4" ht="15" customHeight="1">
      <c r="A114" s="51" t="s">
        <v>159</v>
      </c>
      <c r="B114" s="40" t="s">
        <v>67</v>
      </c>
      <c r="C114" s="40">
        <v>2</v>
      </c>
      <c r="D114" s="42"/>
    </row>
    <row r="115" spans="1:4" ht="15" customHeight="1">
      <c r="A115" s="51" t="s">
        <v>160</v>
      </c>
      <c r="B115" s="40" t="s">
        <v>67</v>
      </c>
      <c r="C115" s="40">
        <v>2</v>
      </c>
      <c r="D115" s="42"/>
    </row>
    <row r="116" spans="1:4" ht="15" customHeight="1">
      <c r="A116" s="51" t="s">
        <v>363</v>
      </c>
      <c r="B116" s="40" t="s">
        <v>39</v>
      </c>
      <c r="C116" s="40">
        <v>1.5</v>
      </c>
      <c r="D116" s="42"/>
    </row>
    <row r="117" spans="1:4" ht="12.75">
      <c r="A117" s="49" t="s">
        <v>161</v>
      </c>
      <c r="B117" s="36"/>
      <c r="C117" s="60"/>
      <c r="D117" s="62"/>
    </row>
    <row r="118" spans="1:4" ht="12.75">
      <c r="A118" s="54" t="s">
        <v>162</v>
      </c>
      <c r="B118" s="55" t="s">
        <v>39</v>
      </c>
      <c r="C118" s="56">
        <v>920</v>
      </c>
      <c r="D118" s="68" t="s">
        <v>44</v>
      </c>
    </row>
    <row r="119" spans="1:4" ht="12.75">
      <c r="A119" s="54" t="s">
        <v>163</v>
      </c>
      <c r="B119" s="58" t="s">
        <v>39</v>
      </c>
      <c r="C119" s="56">
        <v>920</v>
      </c>
      <c r="D119" s="89" t="s">
        <v>164</v>
      </c>
    </row>
    <row r="120" spans="1:4" ht="12.75">
      <c r="A120" s="49" t="s">
        <v>165</v>
      </c>
      <c r="B120" s="36"/>
      <c r="C120" s="60"/>
      <c r="D120" s="62"/>
    </row>
    <row r="121" spans="1:4" ht="12.75">
      <c r="A121" s="54" t="s">
        <v>162</v>
      </c>
      <c r="B121" s="55" t="s">
        <v>39</v>
      </c>
      <c r="C121" s="56">
        <f>920+53.76</f>
        <v>973.76</v>
      </c>
      <c r="D121" s="68" t="s">
        <v>44</v>
      </c>
    </row>
    <row r="122" spans="1:4" ht="12.75">
      <c r="A122" s="54" t="s">
        <v>163</v>
      </c>
      <c r="B122" s="55" t="s">
        <v>39</v>
      </c>
      <c r="C122" s="56">
        <f>920+53.76</f>
        <v>973.76</v>
      </c>
      <c r="D122" s="89" t="s">
        <v>164</v>
      </c>
    </row>
    <row r="123" spans="1:4" ht="12.75">
      <c r="A123" s="49" t="s">
        <v>166</v>
      </c>
      <c r="B123" s="36"/>
      <c r="C123" s="60"/>
      <c r="D123" s="62"/>
    </row>
    <row r="124" spans="1:4" ht="12.75">
      <c r="A124" s="54" t="s">
        <v>162</v>
      </c>
      <c r="B124" s="55" t="s">
        <v>39</v>
      </c>
      <c r="C124" s="56">
        <f>920+146.1+325.8</f>
        <v>1391.8999999999999</v>
      </c>
      <c r="D124" s="47" t="s">
        <v>175</v>
      </c>
    </row>
    <row r="125" spans="1:4" ht="12.75">
      <c r="A125" s="54" t="s">
        <v>163</v>
      </c>
      <c r="B125" s="58" t="s">
        <v>39</v>
      </c>
      <c r="C125" s="56">
        <f>920+146.1+325.8</f>
        <v>1391.8999999999999</v>
      </c>
      <c r="D125" s="89" t="s">
        <v>164</v>
      </c>
    </row>
    <row r="126" ht="12.75">
      <c r="D126" s="94"/>
    </row>
    <row r="127" ht="12.75">
      <c r="A127" s="90"/>
    </row>
  </sheetData>
  <sheetProtection selectLockedCells="1" selectUnlockedCells="1"/>
  <mergeCells count="32">
    <mergeCell ref="A2:C2"/>
    <mergeCell ref="A3:C3"/>
    <mergeCell ref="A4:C4"/>
    <mergeCell ref="A5:C5"/>
    <mergeCell ref="A6:C6"/>
    <mergeCell ref="A27:C27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7875" bottom="0.5902777777777778" header="0.5118055555555555" footer="0.5118055555555555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E142"/>
  <sheetViews>
    <sheetView workbookViewId="0" topLeftCell="A121">
      <selection activeCell="A142" sqref="A142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364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365</v>
      </c>
    </row>
    <row r="8" spans="1:3" ht="12.75">
      <c r="A8" s="1" t="s">
        <v>7</v>
      </c>
      <c r="C8" s="4" t="s">
        <v>366</v>
      </c>
    </row>
    <row r="9" spans="1:3" ht="12.75">
      <c r="A9" s="1" t="s">
        <v>9</v>
      </c>
      <c r="C9" s="70" t="s">
        <v>367</v>
      </c>
    </row>
    <row r="10" ht="12.75">
      <c r="C10" s="7"/>
    </row>
    <row r="11" spans="1:3" ht="12.75">
      <c r="A11" s="1" t="s">
        <v>11</v>
      </c>
      <c r="C11" s="7" t="s">
        <v>368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24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s="1" t="s">
        <v>32</v>
      </c>
      <c r="C24" s="71">
        <v>0.9138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1080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1080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5149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175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525</v>
      </c>
      <c r="D33" s="16" t="s">
        <v>48</v>
      </c>
    </row>
    <row r="34" spans="1:4" ht="25.5">
      <c r="A34" s="13" t="s">
        <v>49</v>
      </c>
      <c r="B34" s="17" t="s">
        <v>50</v>
      </c>
      <c r="C34" s="73">
        <v>1080</v>
      </c>
      <c r="D34" s="16" t="s">
        <v>51</v>
      </c>
    </row>
    <row r="35" spans="1:4" ht="25.5">
      <c r="A35" s="13" t="s">
        <v>52</v>
      </c>
      <c r="B35" s="17" t="s">
        <v>39</v>
      </c>
      <c r="C35" s="73">
        <v>1620</v>
      </c>
      <c r="D35" s="16" t="s">
        <v>53</v>
      </c>
    </row>
    <row r="36" spans="1:4" ht="12.75">
      <c r="A36" s="13" t="s">
        <v>54</v>
      </c>
      <c r="B36" s="17" t="s">
        <v>39</v>
      </c>
      <c r="C36" s="15">
        <v>6</v>
      </c>
      <c r="D36" s="16" t="s">
        <v>55</v>
      </c>
    </row>
    <row r="37" spans="1:4" ht="12.75" customHeight="1">
      <c r="A37" s="13" t="s">
        <v>56</v>
      </c>
      <c r="B37" s="17" t="s">
        <v>39</v>
      </c>
      <c r="C37" s="15">
        <v>6</v>
      </c>
      <c r="D37" s="16" t="s">
        <v>57</v>
      </c>
    </row>
    <row r="38" spans="1:4" ht="25.5">
      <c r="A38" s="13"/>
      <c r="B38" s="17" t="s">
        <v>39</v>
      </c>
      <c r="C38" s="15">
        <v>6</v>
      </c>
      <c r="D38" s="16" t="s">
        <v>58</v>
      </c>
    </row>
    <row r="39" spans="1:4" ht="25.5">
      <c r="A39" s="13" t="s">
        <v>59</v>
      </c>
      <c r="B39" s="17" t="s">
        <v>39</v>
      </c>
      <c r="C39" s="15">
        <v>54</v>
      </c>
      <c r="D39" s="16" t="s">
        <v>60</v>
      </c>
    </row>
    <row r="40" spans="1:4" ht="12.75">
      <c r="A40" s="13" t="s">
        <v>61</v>
      </c>
      <c r="B40" s="17" t="s">
        <v>39</v>
      </c>
      <c r="C40" s="15">
        <v>1446.5</v>
      </c>
      <c r="D40" s="16" t="s">
        <v>46</v>
      </c>
    </row>
    <row r="41" spans="1:4" ht="25.5">
      <c r="A41" s="13" t="s">
        <v>62</v>
      </c>
      <c r="B41" s="17" t="s">
        <v>39</v>
      </c>
      <c r="C41" s="73">
        <v>1080</v>
      </c>
      <c r="D41" s="16" t="s">
        <v>53</v>
      </c>
    </row>
    <row r="42" spans="1:4" ht="12.75">
      <c r="A42" s="13" t="s">
        <v>63</v>
      </c>
      <c r="B42" s="17" t="s">
        <v>39</v>
      </c>
      <c r="C42" s="15">
        <v>6</v>
      </c>
      <c r="D42" s="16" t="s">
        <v>44</v>
      </c>
    </row>
    <row r="43" spans="1:4" ht="12.75">
      <c r="A43" s="13" t="s">
        <v>64</v>
      </c>
      <c r="B43" s="17" t="s">
        <v>39</v>
      </c>
      <c r="C43" s="15">
        <v>241.2</v>
      </c>
      <c r="D43" s="16" t="s">
        <v>44</v>
      </c>
    </row>
    <row r="44" spans="1:4" ht="25.5">
      <c r="A44" s="13" t="s">
        <v>65</v>
      </c>
      <c r="B44" s="17" t="s">
        <v>39</v>
      </c>
      <c r="C44" s="15">
        <v>114</v>
      </c>
      <c r="D44" s="16" t="s">
        <v>53</v>
      </c>
    </row>
    <row r="45" spans="1:4" ht="12.75">
      <c r="A45" s="13" t="s">
        <v>66</v>
      </c>
      <c r="B45" s="17" t="s">
        <v>67</v>
      </c>
      <c r="C45" s="15">
        <v>6</v>
      </c>
      <c r="D45" s="16" t="s">
        <v>60</v>
      </c>
    </row>
    <row r="46" spans="1:4" ht="25.5">
      <c r="A46" s="13" t="s">
        <v>68</v>
      </c>
      <c r="B46" s="17" t="s">
        <v>67</v>
      </c>
      <c r="C46" s="15">
        <v>6</v>
      </c>
      <c r="D46" s="16" t="s">
        <v>69</v>
      </c>
    </row>
    <row r="47" spans="1:4" ht="12.75">
      <c r="A47" s="13" t="s">
        <v>70</v>
      </c>
      <c r="B47" s="17" t="s">
        <v>39</v>
      </c>
      <c r="C47" s="15">
        <v>30</v>
      </c>
      <c r="D47" s="16" t="s">
        <v>71</v>
      </c>
    </row>
    <row r="48" spans="1:4" ht="25.5">
      <c r="A48" s="13" t="s">
        <v>72</v>
      </c>
      <c r="B48" s="17" t="s">
        <v>39</v>
      </c>
      <c r="C48" s="15">
        <f>1*1.88*8*6</f>
        <v>90.24</v>
      </c>
      <c r="D48" s="16" t="s">
        <v>53</v>
      </c>
    </row>
    <row r="49" spans="1:4" ht="25.5">
      <c r="A49" s="13" t="s">
        <v>73</v>
      </c>
      <c r="B49" s="17" t="s">
        <v>67</v>
      </c>
      <c r="C49" s="15">
        <v>6</v>
      </c>
      <c r="D49" s="16" t="s">
        <v>44</v>
      </c>
    </row>
    <row r="50" spans="1:4" ht="12.75">
      <c r="A50" s="13" t="s">
        <v>74</v>
      </c>
      <c r="B50" s="17" t="s">
        <v>39</v>
      </c>
      <c r="C50" s="15">
        <v>1339.7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25.5" customHeight="1">
      <c r="A56" s="13" t="s">
        <v>82</v>
      </c>
      <c r="B56" s="24" t="s">
        <v>79</v>
      </c>
      <c r="C56" s="24"/>
      <c r="D56" s="13" t="s">
        <v>83</v>
      </c>
    </row>
    <row r="57" spans="1:4" ht="25.5" customHeight="1">
      <c r="A57" s="13" t="s">
        <v>84</v>
      </c>
      <c r="B57" s="24" t="s">
        <v>79</v>
      </c>
      <c r="C57" s="24"/>
      <c r="D57" s="13" t="s">
        <v>83</v>
      </c>
    </row>
    <row r="58" spans="1:4" ht="25.5" customHeight="1">
      <c r="A58" s="13" t="s">
        <v>85</v>
      </c>
      <c r="B58" s="24" t="s">
        <v>79</v>
      </c>
      <c r="C58" s="24"/>
      <c r="D58" s="13" t="s">
        <v>86</v>
      </c>
    </row>
    <row r="59" spans="1:4" ht="25.5" customHeight="1">
      <c r="A59" s="13" t="s">
        <v>87</v>
      </c>
      <c r="B59" s="24" t="s">
        <v>79</v>
      </c>
      <c r="C59" s="24"/>
      <c r="D59" s="13" t="s">
        <v>88</v>
      </c>
    </row>
    <row r="60" spans="1:4" ht="25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5.5" customHeight="1">
      <c r="A62" s="13" t="s">
        <v>91</v>
      </c>
      <c r="B62" s="24" t="s">
        <v>79</v>
      </c>
      <c r="C62" s="24"/>
      <c r="D62" s="13" t="s">
        <v>92</v>
      </c>
    </row>
    <row r="63" spans="1:4" ht="26.25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7.75" customHeight="1">
      <c r="A65" s="13" t="s">
        <v>96</v>
      </c>
      <c r="B65" s="24" t="s">
        <v>79</v>
      </c>
      <c r="C65" s="24"/>
      <c r="D65" s="13" t="s">
        <v>88</v>
      </c>
    </row>
    <row r="66" spans="1:4" ht="25.5" customHeight="1">
      <c r="A66" s="13" t="s">
        <v>97</v>
      </c>
      <c r="B66" s="24" t="s">
        <v>79</v>
      </c>
      <c r="C66" s="24"/>
      <c r="D66" s="13" t="s">
        <v>98</v>
      </c>
    </row>
    <row r="67" spans="1:4" ht="25.5" customHeight="1">
      <c r="A67" s="13" t="s">
        <v>99</v>
      </c>
      <c r="B67" s="24" t="s">
        <v>79</v>
      </c>
      <c r="C67" s="24"/>
      <c r="D67" s="13" t="s">
        <v>100</v>
      </c>
    </row>
    <row r="68" spans="1:4" ht="27.75" customHeight="1">
      <c r="A68" s="13" t="s">
        <v>101</v>
      </c>
      <c r="B68" s="24" t="s">
        <v>79</v>
      </c>
      <c r="C68" s="24"/>
      <c r="D68" s="13" t="s">
        <v>88</v>
      </c>
    </row>
    <row r="69" spans="1:4" ht="26.25" customHeight="1">
      <c r="A69" s="13" t="s">
        <v>102</v>
      </c>
      <c r="B69" s="24" t="s">
        <v>79</v>
      </c>
      <c r="C69" s="24"/>
      <c r="D69" s="13" t="s">
        <v>60</v>
      </c>
    </row>
    <row r="70" spans="1:4" ht="30" customHeight="1">
      <c r="A70" s="13" t="s">
        <v>103</v>
      </c>
      <c r="B70" s="24" t="s">
        <v>79</v>
      </c>
      <c r="C70" s="24"/>
      <c r="D70" s="13" t="s">
        <v>104</v>
      </c>
    </row>
    <row r="71" spans="1:4" ht="25.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4.75" customHeight="1">
      <c r="A73" s="13" t="s">
        <v>89</v>
      </c>
      <c r="B73" s="24" t="s">
        <v>79</v>
      </c>
      <c r="C73" s="24"/>
      <c r="D73" s="13" t="s">
        <v>40</v>
      </c>
    </row>
    <row r="74" spans="1:4" ht="25.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4" ht="27.75" customHeight="1">
      <c r="A76" s="13" t="s">
        <v>111</v>
      </c>
      <c r="B76" s="14" t="s">
        <v>112</v>
      </c>
      <c r="C76" s="15">
        <f>562*1.15*12</f>
        <v>7755.599999999999</v>
      </c>
      <c r="D76" s="74" t="s">
        <v>69</v>
      </c>
    </row>
    <row r="77" spans="1:4" ht="12.75">
      <c r="A77" s="13" t="s">
        <v>113</v>
      </c>
      <c r="B77" s="33" t="s">
        <v>112</v>
      </c>
      <c r="C77" s="15">
        <f>0.75*6*2*51</f>
        <v>459</v>
      </c>
      <c r="D77" s="74" t="s">
        <v>114</v>
      </c>
    </row>
    <row r="78" spans="1:4" ht="12.75">
      <c r="A78" s="13" t="s">
        <v>115</v>
      </c>
      <c r="B78" s="14" t="s">
        <v>67</v>
      </c>
      <c r="C78" s="15">
        <v>6</v>
      </c>
      <c r="D78" s="74" t="s">
        <v>116</v>
      </c>
    </row>
    <row r="79" spans="1:4" ht="15" customHeight="1">
      <c r="A79" s="28" t="s">
        <v>117</v>
      </c>
      <c r="B79" s="28"/>
      <c r="C79" s="29"/>
      <c r="D79" s="30"/>
    </row>
    <row r="80" spans="1:4" ht="15" customHeight="1">
      <c r="A80" s="35" t="s">
        <v>118</v>
      </c>
      <c r="B80" s="36"/>
      <c r="C80" s="37"/>
      <c r="D80" s="37"/>
    </row>
    <row r="81" spans="1:4" ht="15" customHeight="1">
      <c r="A81" s="39" t="s">
        <v>119</v>
      </c>
      <c r="B81" s="40" t="s">
        <v>39</v>
      </c>
      <c r="C81" s="40">
        <v>11</v>
      </c>
      <c r="D81" s="81"/>
    </row>
    <row r="82" spans="1:4" ht="15" customHeight="1">
      <c r="A82" s="39" t="s">
        <v>120</v>
      </c>
      <c r="B82" s="40" t="s">
        <v>67</v>
      </c>
      <c r="C82" s="41">
        <v>6</v>
      </c>
      <c r="D82" s="47" t="s">
        <v>337</v>
      </c>
    </row>
    <row r="83" spans="1:4" ht="15" customHeight="1">
      <c r="A83" s="39" t="s">
        <v>121</v>
      </c>
      <c r="B83" s="40" t="s">
        <v>122</v>
      </c>
      <c r="C83" s="40">
        <f>1+1</f>
        <v>2</v>
      </c>
      <c r="D83" s="81"/>
    </row>
    <row r="84" spans="1:4" ht="15" customHeight="1">
      <c r="A84" s="35" t="s">
        <v>124</v>
      </c>
      <c r="B84" s="36"/>
      <c r="C84" s="36"/>
      <c r="D84" s="115"/>
    </row>
    <row r="85" spans="1:4" ht="15" customHeight="1">
      <c r="A85" s="43" t="s">
        <v>125</v>
      </c>
      <c r="B85" s="41" t="s">
        <v>122</v>
      </c>
      <c r="C85" s="41">
        <f>3</f>
        <v>3</v>
      </c>
      <c r="D85" s="81"/>
    </row>
    <row r="86" spans="1:4" ht="15" customHeight="1">
      <c r="A86" s="35" t="s">
        <v>126</v>
      </c>
      <c r="B86" s="36"/>
      <c r="C86" s="36"/>
      <c r="D86" s="115"/>
    </row>
    <row r="87" spans="1:4" ht="15" customHeight="1">
      <c r="A87" s="39" t="s">
        <v>369</v>
      </c>
      <c r="B87" s="46" t="s">
        <v>67</v>
      </c>
      <c r="C87" s="41">
        <f>1+1+1+1+1+1</f>
        <v>6</v>
      </c>
      <c r="D87" s="81"/>
    </row>
    <row r="88" spans="1:4" ht="15" customHeight="1">
      <c r="A88" s="43" t="s">
        <v>127</v>
      </c>
      <c r="B88" s="46" t="s">
        <v>67</v>
      </c>
      <c r="C88" s="41">
        <f>11+8+20+7+2+8</f>
        <v>56</v>
      </c>
      <c r="D88" s="81"/>
    </row>
    <row r="89" spans="1:4" ht="15" customHeight="1">
      <c r="A89" s="43" t="s">
        <v>185</v>
      </c>
      <c r="B89" s="46" t="s">
        <v>67</v>
      </c>
      <c r="C89" s="41">
        <f>10</f>
        <v>10</v>
      </c>
      <c r="D89" s="81"/>
    </row>
    <row r="90" spans="1:4" ht="15" customHeight="1">
      <c r="A90" s="43" t="s">
        <v>128</v>
      </c>
      <c r="B90" s="46" t="s">
        <v>67</v>
      </c>
      <c r="C90" s="41">
        <v>6</v>
      </c>
      <c r="D90" s="47" t="s">
        <v>130</v>
      </c>
    </row>
    <row r="91" spans="1:4" ht="15" customHeight="1">
      <c r="A91" s="43" t="s">
        <v>129</v>
      </c>
      <c r="B91" s="40" t="s">
        <v>67</v>
      </c>
      <c r="C91" s="41">
        <v>6</v>
      </c>
      <c r="D91" s="47" t="s">
        <v>186</v>
      </c>
    </row>
    <row r="92" spans="1:4" ht="15" customHeight="1">
      <c r="A92" s="43" t="s">
        <v>131</v>
      </c>
      <c r="B92" s="40" t="s">
        <v>67</v>
      </c>
      <c r="C92" s="41">
        <v>6</v>
      </c>
      <c r="D92" s="47" t="s">
        <v>130</v>
      </c>
    </row>
    <row r="93" spans="1:4" ht="15" customHeight="1">
      <c r="A93" s="43" t="s">
        <v>266</v>
      </c>
      <c r="B93" s="46" t="s">
        <v>133</v>
      </c>
      <c r="C93" s="41">
        <f>5.3+5.3</f>
        <v>10.6</v>
      </c>
      <c r="D93" s="81"/>
    </row>
    <row r="94" spans="1:4" ht="15" customHeight="1">
      <c r="A94" s="43" t="s">
        <v>187</v>
      </c>
      <c r="B94" s="46" t="s">
        <v>67</v>
      </c>
      <c r="C94" s="41">
        <f>1+2</f>
        <v>3</v>
      </c>
      <c r="D94" s="81"/>
    </row>
    <row r="95" spans="1:4" ht="15" customHeight="1">
      <c r="A95" s="43" t="s">
        <v>189</v>
      </c>
      <c r="B95" s="40" t="s">
        <v>133</v>
      </c>
      <c r="C95" s="41">
        <f>15+15+18+21+15+9+5.2+3+15</f>
        <v>116.2</v>
      </c>
      <c r="D95" s="81"/>
    </row>
    <row r="96" spans="1:4" ht="15" customHeight="1">
      <c r="A96" s="43" t="s">
        <v>132</v>
      </c>
      <c r="B96" s="40" t="s">
        <v>133</v>
      </c>
      <c r="C96" s="41">
        <f>9+9+3+3+3+9+30+6</f>
        <v>72</v>
      </c>
      <c r="D96" s="81"/>
    </row>
    <row r="97" spans="1:4" ht="15" customHeight="1">
      <c r="A97" s="43" t="s">
        <v>190</v>
      </c>
      <c r="B97" s="40" t="s">
        <v>67</v>
      </c>
      <c r="C97" s="41">
        <f>2+2+6+3+9+6</f>
        <v>28</v>
      </c>
      <c r="D97" s="81"/>
    </row>
    <row r="98" spans="1:4" ht="15" customHeight="1">
      <c r="A98" s="43" t="s">
        <v>134</v>
      </c>
      <c r="B98" s="40" t="s">
        <v>39</v>
      </c>
      <c r="C98" s="41">
        <f>0.7+0.6+0.5+7.5+0.3+1.9+1.7</f>
        <v>13.200000000000001</v>
      </c>
      <c r="D98" s="81"/>
    </row>
    <row r="99" spans="1:4" ht="15" customHeight="1">
      <c r="A99" s="43" t="s">
        <v>277</v>
      </c>
      <c r="B99" s="40" t="s">
        <v>67</v>
      </c>
      <c r="C99" s="41">
        <f>5+4+28+10+10+7</f>
        <v>64</v>
      </c>
      <c r="D99" s="81"/>
    </row>
    <row r="100" spans="1:4" ht="15" customHeight="1">
      <c r="A100" s="43" t="s">
        <v>370</v>
      </c>
      <c r="B100" s="40" t="s">
        <v>67</v>
      </c>
      <c r="C100" s="41">
        <f>32+10</f>
        <v>42</v>
      </c>
      <c r="D100" s="81"/>
    </row>
    <row r="101" spans="1:4" ht="15" customHeight="1">
      <c r="A101" s="43" t="s">
        <v>135</v>
      </c>
      <c r="B101" s="40" t="s">
        <v>67</v>
      </c>
      <c r="C101" s="41">
        <v>1</v>
      </c>
      <c r="D101" s="81"/>
    </row>
    <row r="102" spans="1:4" ht="15" customHeight="1">
      <c r="A102" s="43" t="s">
        <v>136</v>
      </c>
      <c r="B102" s="40" t="s">
        <v>67</v>
      </c>
      <c r="C102" s="41">
        <f>1+2</f>
        <v>3</v>
      </c>
      <c r="D102" s="81"/>
    </row>
    <row r="103" spans="1:4" ht="15" customHeight="1">
      <c r="A103" s="43" t="s">
        <v>346</v>
      </c>
      <c r="B103" s="40" t="s">
        <v>122</v>
      </c>
      <c r="C103" s="40">
        <f>2</f>
        <v>2</v>
      </c>
      <c r="D103" s="81"/>
    </row>
    <row r="104" spans="1:4" ht="15" customHeight="1">
      <c r="A104" s="88" t="s">
        <v>267</v>
      </c>
      <c r="B104" s="40" t="s">
        <v>122</v>
      </c>
      <c r="C104" s="41">
        <f>1</f>
        <v>1</v>
      </c>
      <c r="D104" s="81"/>
    </row>
    <row r="105" spans="1:4" ht="15" customHeight="1">
      <c r="A105" s="88" t="s">
        <v>268</v>
      </c>
      <c r="B105" s="40" t="s">
        <v>67</v>
      </c>
      <c r="C105" s="41">
        <v>6</v>
      </c>
      <c r="D105" s="81"/>
    </row>
    <row r="106" spans="1:4" ht="15" customHeight="1">
      <c r="A106" s="35" t="s">
        <v>238</v>
      </c>
      <c r="B106" s="36"/>
      <c r="C106" s="36"/>
      <c r="D106" s="115"/>
    </row>
    <row r="107" spans="1:4" ht="15" customHeight="1">
      <c r="A107" s="43" t="s">
        <v>239</v>
      </c>
      <c r="B107" s="40" t="s">
        <v>133</v>
      </c>
      <c r="C107" s="40">
        <f>43.4</f>
        <v>43.4</v>
      </c>
      <c r="D107" s="81"/>
    </row>
    <row r="108" spans="1:4" ht="15" customHeight="1">
      <c r="A108" s="35" t="s">
        <v>137</v>
      </c>
      <c r="B108" s="48"/>
      <c r="C108" s="36"/>
      <c r="D108" s="115"/>
    </row>
    <row r="109" spans="1:4" ht="15" customHeight="1">
      <c r="A109" s="39" t="s">
        <v>138</v>
      </c>
      <c r="B109" s="40" t="s">
        <v>122</v>
      </c>
      <c r="C109" s="41">
        <f>3+1+2</f>
        <v>6</v>
      </c>
      <c r="D109" s="81"/>
    </row>
    <row r="110" spans="1:4" ht="15" customHeight="1">
      <c r="A110" s="35" t="s">
        <v>213</v>
      </c>
      <c r="B110" s="36"/>
      <c r="C110" s="36"/>
      <c r="D110" s="115"/>
    </row>
    <row r="111" spans="1:4" s="1" customFormat="1" ht="15" customHeight="1">
      <c r="A111" s="80" t="s">
        <v>241</v>
      </c>
      <c r="B111" s="41" t="s">
        <v>67</v>
      </c>
      <c r="C111" s="41">
        <f>1+5</f>
        <v>6</v>
      </c>
      <c r="D111" s="68"/>
    </row>
    <row r="112" spans="1:4" ht="15" customHeight="1">
      <c r="A112" s="49" t="s">
        <v>141</v>
      </c>
      <c r="B112" s="36"/>
      <c r="C112" s="50"/>
      <c r="D112" s="115"/>
    </row>
    <row r="113" spans="1:4" ht="15" customHeight="1">
      <c r="A113" s="52" t="s">
        <v>256</v>
      </c>
      <c r="B113" s="40" t="s">
        <v>133</v>
      </c>
      <c r="C113" s="41">
        <v>22</v>
      </c>
      <c r="D113" s="81"/>
    </row>
    <row r="114" spans="1:4" ht="15" customHeight="1">
      <c r="A114" s="51" t="s">
        <v>192</v>
      </c>
      <c r="B114" s="41" t="s">
        <v>67</v>
      </c>
      <c r="C114" s="41">
        <f>1</f>
        <v>1</v>
      </c>
      <c r="D114" s="81"/>
    </row>
    <row r="115" spans="1:4" ht="15" customHeight="1">
      <c r="A115" s="39" t="s">
        <v>220</v>
      </c>
      <c r="B115" s="41" t="s">
        <v>67</v>
      </c>
      <c r="C115" s="40">
        <f>1</f>
        <v>1</v>
      </c>
      <c r="D115" s="81"/>
    </row>
    <row r="116" spans="1:4" ht="12.75">
      <c r="A116" s="51" t="s">
        <v>143</v>
      </c>
      <c r="B116" s="40" t="s">
        <v>67</v>
      </c>
      <c r="C116" s="41">
        <v>8</v>
      </c>
      <c r="D116" s="74"/>
    </row>
    <row r="117" spans="1:4" ht="12.75">
      <c r="A117" s="49" t="s">
        <v>145</v>
      </c>
      <c r="B117" s="36"/>
      <c r="C117" s="36"/>
      <c r="D117" s="119"/>
    </row>
    <row r="118" spans="1:4" ht="12.75">
      <c r="A118" s="52" t="s">
        <v>147</v>
      </c>
      <c r="B118" s="40" t="s">
        <v>67</v>
      </c>
      <c r="C118" s="40">
        <f>3+1+5</f>
        <v>9</v>
      </c>
      <c r="D118" s="74"/>
    </row>
    <row r="119" spans="1:4" ht="12.75">
      <c r="A119" s="52" t="s">
        <v>149</v>
      </c>
      <c r="B119" s="40" t="s">
        <v>67</v>
      </c>
      <c r="C119" s="40">
        <v>6</v>
      </c>
      <c r="D119" s="74"/>
    </row>
    <row r="120" spans="1:4" ht="12.75">
      <c r="A120" s="52" t="s">
        <v>196</v>
      </c>
      <c r="B120" s="41" t="s">
        <v>67</v>
      </c>
      <c r="C120" s="40">
        <f>1+6</f>
        <v>7</v>
      </c>
      <c r="D120" s="74"/>
    </row>
    <row r="121" spans="1:4" s="1" customFormat="1" ht="12.75">
      <c r="A121" s="80" t="s">
        <v>151</v>
      </c>
      <c r="B121" s="41" t="s">
        <v>39</v>
      </c>
      <c r="C121" s="41">
        <v>245</v>
      </c>
      <c r="D121" s="120"/>
    </row>
    <row r="122" spans="1:4" s="1" customFormat="1" ht="12.75">
      <c r="A122" s="80" t="s">
        <v>154</v>
      </c>
      <c r="B122" s="41" t="s">
        <v>67</v>
      </c>
      <c r="C122" s="41">
        <v>6</v>
      </c>
      <c r="D122" s="120"/>
    </row>
    <row r="123" spans="1:4" ht="12.75">
      <c r="A123" s="49" t="s">
        <v>157</v>
      </c>
      <c r="B123" s="36"/>
      <c r="C123" s="36"/>
      <c r="D123" s="119"/>
    </row>
    <row r="124" spans="1:4" ht="12.75">
      <c r="A124" s="51" t="s">
        <v>158</v>
      </c>
      <c r="B124" s="40" t="s">
        <v>67</v>
      </c>
      <c r="C124" s="40">
        <f>2+12+1</f>
        <v>15</v>
      </c>
      <c r="D124" s="74"/>
    </row>
    <row r="125" spans="1:4" s="1" customFormat="1" ht="12.75">
      <c r="A125" s="80" t="s">
        <v>202</v>
      </c>
      <c r="B125" s="41" t="s">
        <v>39</v>
      </c>
      <c r="C125" s="41">
        <v>200</v>
      </c>
      <c r="D125" s="120"/>
    </row>
    <row r="126" spans="1:4" ht="12.75">
      <c r="A126" s="51" t="s">
        <v>160</v>
      </c>
      <c r="B126" s="40" t="s">
        <v>67</v>
      </c>
      <c r="C126" s="40">
        <v>6</v>
      </c>
      <c r="D126" s="74"/>
    </row>
    <row r="127" spans="1:4" ht="12.75">
      <c r="A127" s="49" t="s">
        <v>161</v>
      </c>
      <c r="B127" s="36"/>
      <c r="C127" s="36"/>
      <c r="D127" s="119"/>
    </row>
    <row r="128" spans="1:4" ht="12.75">
      <c r="A128" s="54" t="s">
        <v>162</v>
      </c>
      <c r="B128" s="55" t="s">
        <v>39</v>
      </c>
      <c r="C128" s="56">
        <v>1339.7</v>
      </c>
      <c r="D128" s="68" t="s">
        <v>44</v>
      </c>
    </row>
    <row r="129" spans="1:4" ht="12.75">
      <c r="A129" s="54" t="s">
        <v>163</v>
      </c>
      <c r="B129" s="58" t="s">
        <v>39</v>
      </c>
      <c r="C129" s="56">
        <v>1339.7</v>
      </c>
      <c r="D129" s="89" t="s">
        <v>164</v>
      </c>
    </row>
    <row r="130" spans="1:4" ht="12.75">
      <c r="A130" s="49" t="s">
        <v>165</v>
      </c>
      <c r="B130" s="36"/>
      <c r="C130" s="36"/>
      <c r="D130" s="119"/>
    </row>
    <row r="131" spans="1:4" ht="12.75">
      <c r="A131" s="54" t="s">
        <v>162</v>
      </c>
      <c r="B131" s="55" t="s">
        <v>39</v>
      </c>
      <c r="C131" s="56">
        <f>1339.7+161.28</f>
        <v>1500.98</v>
      </c>
      <c r="D131" s="68" t="s">
        <v>44</v>
      </c>
    </row>
    <row r="132" spans="1:4" ht="25.5">
      <c r="A132" s="54" t="s">
        <v>163</v>
      </c>
      <c r="B132" s="55" t="s">
        <v>39</v>
      </c>
      <c r="C132" s="56">
        <f>1339.7+161.28</f>
        <v>1500.98</v>
      </c>
      <c r="D132" s="89" t="s">
        <v>164</v>
      </c>
    </row>
    <row r="133" spans="1:4" ht="15">
      <c r="A133" s="49" t="s">
        <v>166</v>
      </c>
      <c r="B133" s="36"/>
      <c r="C133" s="36"/>
      <c r="D133" s="119"/>
    </row>
    <row r="134" spans="1:4" ht="12.75">
      <c r="A134" s="54" t="s">
        <v>162</v>
      </c>
      <c r="B134" s="55" t="s">
        <v>39</v>
      </c>
      <c r="C134" s="56">
        <f>1339.7+517.9+767.1</f>
        <v>2624.7</v>
      </c>
      <c r="D134" s="47" t="s">
        <v>175</v>
      </c>
    </row>
    <row r="135" spans="1:4" ht="12.75">
      <c r="A135" s="54" t="s">
        <v>163</v>
      </c>
      <c r="B135" s="58" t="s">
        <v>39</v>
      </c>
      <c r="C135" s="56">
        <f>1339.7+517.9+767.1</f>
        <v>2624.7</v>
      </c>
      <c r="D135" s="89" t="s">
        <v>164</v>
      </c>
    </row>
    <row r="136" spans="1:4" ht="12.75">
      <c r="A136" s="49" t="s">
        <v>168</v>
      </c>
      <c r="B136" s="36"/>
      <c r="C136" s="36"/>
      <c r="D136" s="119"/>
    </row>
    <row r="137" spans="1:5" ht="12.75">
      <c r="A137" s="54" t="s">
        <v>169</v>
      </c>
      <c r="B137" s="55" t="s">
        <v>170</v>
      </c>
      <c r="C137" s="66" t="s">
        <v>204</v>
      </c>
      <c r="D137" s="47" t="s">
        <v>44</v>
      </c>
      <c r="E137" s="67"/>
    </row>
    <row r="138" spans="1:4" ht="12.75">
      <c r="A138" s="54" t="s">
        <v>172</v>
      </c>
      <c r="B138" s="55" t="s">
        <v>170</v>
      </c>
      <c r="C138" s="66" t="s">
        <v>204</v>
      </c>
      <c r="D138" s="47" t="s">
        <v>371</v>
      </c>
    </row>
    <row r="139" spans="1:4" ht="12.75">
      <c r="A139" s="69" t="s">
        <v>174</v>
      </c>
      <c r="B139" s="55" t="s">
        <v>170</v>
      </c>
      <c r="C139" s="55">
        <v>6</v>
      </c>
      <c r="D139" s="68" t="s">
        <v>175</v>
      </c>
    </row>
    <row r="140" ht="12.75"/>
    <row r="141" ht="12.75"/>
    <row r="142" ht="12.75">
      <c r="A142" s="90"/>
    </row>
    <row r="143" ht="12.75"/>
    <row r="144" ht="12.75"/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D125"/>
  <sheetViews>
    <sheetView workbookViewId="0" topLeftCell="A97">
      <selection activeCell="A125" sqref="A125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372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373</v>
      </c>
    </row>
    <row r="8" spans="1:3" ht="12.75">
      <c r="A8" s="1" t="s">
        <v>7</v>
      </c>
      <c r="C8" s="4" t="s">
        <v>374</v>
      </c>
    </row>
    <row r="9" spans="1:3" ht="12.75">
      <c r="A9" s="1" t="s">
        <v>9</v>
      </c>
      <c r="C9" s="7" t="s">
        <v>375</v>
      </c>
    </row>
    <row r="10" ht="12.75">
      <c r="C10" s="7"/>
    </row>
    <row r="11" spans="1:3" ht="12.75">
      <c r="A11" s="1" t="s">
        <v>11</v>
      </c>
      <c r="C11" s="7" t="s">
        <v>376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83"/>
    </row>
    <row r="24" spans="1:3" ht="12.75">
      <c r="A24" s="1" t="s">
        <v>32</v>
      </c>
      <c r="C24" s="71">
        <v>0.8734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276.3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276.3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1411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19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58.3</v>
      </c>
      <c r="D33" s="16" t="s">
        <v>48</v>
      </c>
    </row>
    <row r="34" spans="1:4" ht="25.5">
      <c r="A34" s="13" t="s">
        <v>49</v>
      </c>
      <c r="B34" s="17" t="s">
        <v>50</v>
      </c>
      <c r="C34" s="73">
        <v>276.3</v>
      </c>
      <c r="D34" s="16" t="s">
        <v>51</v>
      </c>
    </row>
    <row r="35" spans="1:4" ht="25.5">
      <c r="A35" s="13" t="s">
        <v>52</v>
      </c>
      <c r="B35" s="17" t="s">
        <v>39</v>
      </c>
      <c r="C35" s="15">
        <v>414.45</v>
      </c>
      <c r="D35" s="16" t="s">
        <v>53</v>
      </c>
    </row>
    <row r="36" spans="1:4" ht="12.75">
      <c r="A36" s="13" t="s">
        <v>54</v>
      </c>
      <c r="B36" s="17" t="s">
        <v>39</v>
      </c>
      <c r="C36" s="15"/>
      <c r="D36" s="16" t="s">
        <v>233</v>
      </c>
    </row>
    <row r="37" spans="1:4" ht="12.75">
      <c r="A37" s="13" t="s">
        <v>56</v>
      </c>
      <c r="B37" s="17" t="s">
        <v>39</v>
      </c>
      <c r="C37" s="15"/>
      <c r="D37" s="16" t="s">
        <v>233</v>
      </c>
    </row>
    <row r="38" spans="1:4" ht="25.5">
      <c r="A38" s="13" t="s">
        <v>59</v>
      </c>
      <c r="B38" s="17" t="s">
        <v>39</v>
      </c>
      <c r="C38" s="15"/>
      <c r="D38" s="16" t="s">
        <v>233</v>
      </c>
    </row>
    <row r="39" spans="1:4" ht="12.75">
      <c r="A39" s="13" t="s">
        <v>61</v>
      </c>
      <c r="B39" s="17" t="s">
        <v>39</v>
      </c>
      <c r="C39" s="15">
        <v>1760</v>
      </c>
      <c r="D39" s="16" t="s">
        <v>46</v>
      </c>
    </row>
    <row r="40" spans="1:4" ht="25.5">
      <c r="A40" s="13" t="s">
        <v>62</v>
      </c>
      <c r="B40" s="17" t="s">
        <v>39</v>
      </c>
      <c r="C40" s="73">
        <v>276</v>
      </c>
      <c r="D40" s="16" t="s">
        <v>53</v>
      </c>
    </row>
    <row r="41" spans="1:4" ht="12.75">
      <c r="A41" s="13" t="s">
        <v>63</v>
      </c>
      <c r="B41" s="17" t="s">
        <v>39</v>
      </c>
      <c r="C41" s="15"/>
      <c r="D41" s="16" t="s">
        <v>233</v>
      </c>
    </row>
    <row r="42" spans="1:4" ht="12.75">
      <c r="A42" s="13" t="s">
        <v>64</v>
      </c>
      <c r="B42" s="17" t="s">
        <v>39</v>
      </c>
      <c r="C42" s="15"/>
      <c r="D42" s="16" t="s">
        <v>233</v>
      </c>
    </row>
    <row r="43" spans="1:4" ht="12.75">
      <c r="A43" s="13" t="s">
        <v>65</v>
      </c>
      <c r="B43" s="17" t="s">
        <v>39</v>
      </c>
      <c r="C43" s="15"/>
      <c r="D43" s="16" t="s">
        <v>233</v>
      </c>
    </row>
    <row r="44" spans="1:4" ht="12.75">
      <c r="A44" s="13" t="s">
        <v>66</v>
      </c>
      <c r="B44" s="17" t="s">
        <v>67</v>
      </c>
      <c r="C44" s="15"/>
      <c r="D44" s="16" t="s">
        <v>233</v>
      </c>
    </row>
    <row r="45" spans="1:4" ht="25.5">
      <c r="A45" s="13" t="s">
        <v>68</v>
      </c>
      <c r="B45" s="17" t="s">
        <v>67</v>
      </c>
      <c r="C45" s="15"/>
      <c r="D45" s="16" t="s">
        <v>233</v>
      </c>
    </row>
    <row r="46" spans="1:4" ht="12.75">
      <c r="A46" s="13" t="s">
        <v>70</v>
      </c>
      <c r="B46" s="17" t="s">
        <v>39</v>
      </c>
      <c r="C46" s="15"/>
      <c r="D46" s="16" t="s">
        <v>233</v>
      </c>
    </row>
    <row r="47" spans="1:4" ht="12.75">
      <c r="A47" s="13" t="s">
        <v>72</v>
      </c>
      <c r="B47" s="17" t="s">
        <v>39</v>
      </c>
      <c r="C47" s="15"/>
      <c r="D47" s="16" t="s">
        <v>233</v>
      </c>
    </row>
    <row r="48" spans="1:4" ht="25.5">
      <c r="A48" s="13" t="s">
        <v>73</v>
      </c>
      <c r="B48" s="17" t="s">
        <v>67</v>
      </c>
      <c r="C48" s="15"/>
      <c r="D48" s="16" t="s">
        <v>233</v>
      </c>
    </row>
    <row r="49" spans="1:4" ht="12.75">
      <c r="A49" s="13" t="s">
        <v>74</v>
      </c>
      <c r="B49" s="17" t="s">
        <v>39</v>
      </c>
      <c r="C49" s="15">
        <v>855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25.5" customHeight="1">
      <c r="A55" s="13" t="s">
        <v>82</v>
      </c>
      <c r="B55" s="24" t="s">
        <v>79</v>
      </c>
      <c r="C55" s="24"/>
      <c r="D55" s="13" t="s">
        <v>83</v>
      </c>
    </row>
    <row r="56" spans="1:4" ht="25.5" customHeight="1">
      <c r="A56" s="13" t="s">
        <v>84</v>
      </c>
      <c r="B56" s="24" t="s">
        <v>79</v>
      </c>
      <c r="C56" s="24"/>
      <c r="D56" s="13" t="s">
        <v>83</v>
      </c>
    </row>
    <row r="57" spans="1:4" ht="24.75" customHeight="1">
      <c r="A57" s="13" t="s">
        <v>85</v>
      </c>
      <c r="B57" s="24" t="s">
        <v>79</v>
      </c>
      <c r="C57" s="24"/>
      <c r="D57" s="13" t="s">
        <v>86</v>
      </c>
    </row>
    <row r="58" spans="1:4" ht="30.75" customHeight="1">
      <c r="A58" s="13" t="s">
        <v>87</v>
      </c>
      <c r="B58" s="24" t="s">
        <v>79</v>
      </c>
      <c r="C58" s="24"/>
      <c r="D58" s="13" t="s">
        <v>88</v>
      </c>
    </row>
    <row r="59" spans="1:4" ht="25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5.5" customHeight="1">
      <c r="A61" s="13" t="s">
        <v>91</v>
      </c>
      <c r="B61" s="24" t="s">
        <v>79</v>
      </c>
      <c r="C61" s="24"/>
      <c r="D61" s="13" t="s">
        <v>92</v>
      </c>
    </row>
    <row r="62" spans="1:4" ht="27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7.75" customHeight="1">
      <c r="A64" s="13" t="s">
        <v>96</v>
      </c>
      <c r="B64" s="24" t="s">
        <v>79</v>
      </c>
      <c r="C64" s="24"/>
      <c r="D64" s="13" t="s">
        <v>88</v>
      </c>
    </row>
    <row r="65" spans="1:4" ht="25.5" customHeight="1">
      <c r="A65" s="13" t="s">
        <v>97</v>
      </c>
      <c r="B65" s="24" t="s">
        <v>79</v>
      </c>
      <c r="C65" s="24"/>
      <c r="D65" s="13" t="s">
        <v>98</v>
      </c>
    </row>
    <row r="66" spans="1:4" ht="25.5" customHeight="1">
      <c r="A66" s="13" t="s">
        <v>99</v>
      </c>
      <c r="B66" s="24" t="s">
        <v>79</v>
      </c>
      <c r="C66" s="24"/>
      <c r="D66" s="13" t="s">
        <v>100</v>
      </c>
    </row>
    <row r="67" spans="1:4" ht="27.75" customHeight="1">
      <c r="A67" s="13" t="s">
        <v>101</v>
      </c>
      <c r="B67" s="24" t="s">
        <v>79</v>
      </c>
      <c r="C67" s="24"/>
      <c r="D67" s="13" t="s">
        <v>88</v>
      </c>
    </row>
    <row r="68" spans="1:4" ht="26.25" customHeight="1">
      <c r="A68" s="13" t="s">
        <v>102</v>
      </c>
      <c r="B68" s="24" t="s">
        <v>79</v>
      </c>
      <c r="C68" s="24"/>
      <c r="D68" s="13" t="s">
        <v>60</v>
      </c>
    </row>
    <row r="69" spans="1:4" ht="30" customHeight="1">
      <c r="A69" s="13" t="s">
        <v>103</v>
      </c>
      <c r="B69" s="24" t="s">
        <v>79</v>
      </c>
      <c r="C69" s="24"/>
      <c r="D69" s="13" t="s">
        <v>104</v>
      </c>
    </row>
    <row r="70" spans="1:4" ht="25.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.75" customHeight="1">
      <c r="A72" s="13" t="s">
        <v>89</v>
      </c>
      <c r="B72" s="24" t="s">
        <v>79</v>
      </c>
      <c r="C72" s="24"/>
      <c r="D72" s="13" t="s">
        <v>40</v>
      </c>
    </row>
    <row r="73" spans="1:4" ht="25.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4" ht="27.75" customHeight="1">
      <c r="A75" s="13" t="s">
        <v>111</v>
      </c>
      <c r="B75" s="14" t="s">
        <v>112</v>
      </c>
      <c r="C75" s="15">
        <f>216*1.15*12</f>
        <v>2980.7999999999997</v>
      </c>
      <c r="D75" s="74" t="s">
        <v>69</v>
      </c>
    </row>
    <row r="76" spans="1:4" ht="12.75">
      <c r="A76" s="13" t="s">
        <v>113</v>
      </c>
      <c r="B76" s="33" t="s">
        <v>112</v>
      </c>
      <c r="C76" s="15">
        <f>0.75*4*2*51</f>
        <v>306</v>
      </c>
      <c r="D76" s="74" t="s">
        <v>114</v>
      </c>
    </row>
    <row r="77" spans="1:4" ht="25.5">
      <c r="A77" s="13" t="s">
        <v>115</v>
      </c>
      <c r="B77" s="14" t="s">
        <v>67</v>
      </c>
      <c r="C77" s="15">
        <v>3</v>
      </c>
      <c r="D77" s="74" t="s">
        <v>116</v>
      </c>
    </row>
    <row r="78" spans="1:4" ht="12.75" customHeight="1">
      <c r="A78" s="28" t="s">
        <v>117</v>
      </c>
      <c r="B78" s="28"/>
      <c r="C78" s="29"/>
      <c r="D78" s="30"/>
    </row>
    <row r="79" spans="1:4" ht="12.75">
      <c r="A79" s="35" t="s">
        <v>118</v>
      </c>
      <c r="B79" s="36"/>
      <c r="C79" s="37"/>
      <c r="D79" s="37"/>
    </row>
    <row r="80" spans="1:4" ht="12.75">
      <c r="A80" s="39" t="s">
        <v>183</v>
      </c>
      <c r="B80" s="40" t="s">
        <v>133</v>
      </c>
      <c r="C80" s="41">
        <v>70</v>
      </c>
      <c r="D80" s="81"/>
    </row>
    <row r="81" spans="1:4" ht="12.75">
      <c r="A81" s="39" t="s">
        <v>121</v>
      </c>
      <c r="B81" s="40" t="s">
        <v>122</v>
      </c>
      <c r="C81" s="40">
        <f>7+1+1</f>
        <v>9</v>
      </c>
      <c r="D81" s="81"/>
    </row>
    <row r="82" spans="1:4" ht="12.75">
      <c r="A82" s="35" t="s">
        <v>235</v>
      </c>
      <c r="B82" s="36"/>
      <c r="C82" s="36"/>
      <c r="D82" s="115"/>
    </row>
    <row r="83" spans="1:4" ht="12.75">
      <c r="A83" s="39" t="s">
        <v>317</v>
      </c>
      <c r="B83" s="40" t="s">
        <v>67</v>
      </c>
      <c r="C83" s="40">
        <f>1+1+1</f>
        <v>3</v>
      </c>
      <c r="D83" s="81"/>
    </row>
    <row r="84" spans="1:4" ht="12.75">
      <c r="A84" s="39" t="s">
        <v>300</v>
      </c>
      <c r="B84" s="40" t="s">
        <v>67</v>
      </c>
      <c r="C84" s="40">
        <f>1</f>
        <v>1</v>
      </c>
      <c r="D84" s="81"/>
    </row>
    <row r="85" spans="1:4" ht="12.75">
      <c r="A85" s="88" t="s">
        <v>237</v>
      </c>
      <c r="B85" s="40" t="s">
        <v>67</v>
      </c>
      <c r="C85" s="40">
        <f>2</f>
        <v>2</v>
      </c>
      <c r="D85" s="81"/>
    </row>
    <row r="86" spans="1:4" ht="12.75">
      <c r="A86" s="35" t="s">
        <v>126</v>
      </c>
      <c r="B86" s="36"/>
      <c r="C86" s="36"/>
      <c r="D86" s="115"/>
    </row>
    <row r="87" spans="1:4" ht="12.75">
      <c r="A87" s="43" t="s">
        <v>128</v>
      </c>
      <c r="B87" s="46" t="s">
        <v>67</v>
      </c>
      <c r="C87" s="41">
        <v>4</v>
      </c>
      <c r="D87" s="47" t="s">
        <v>130</v>
      </c>
    </row>
    <row r="88" spans="1:4" s="1" customFormat="1" ht="12.75">
      <c r="A88" s="43" t="s">
        <v>129</v>
      </c>
      <c r="B88" s="40" t="s">
        <v>67</v>
      </c>
      <c r="C88" s="41">
        <v>4</v>
      </c>
      <c r="D88" s="47" t="s">
        <v>130</v>
      </c>
    </row>
    <row r="89" spans="1:4" s="1" customFormat="1" ht="12.75">
      <c r="A89" s="43" t="s">
        <v>131</v>
      </c>
      <c r="B89" s="41" t="s">
        <v>67</v>
      </c>
      <c r="C89" s="41">
        <v>4</v>
      </c>
      <c r="D89" s="68" t="s">
        <v>290</v>
      </c>
    </row>
    <row r="90" spans="1:4" ht="12.75">
      <c r="A90" s="43" t="s">
        <v>132</v>
      </c>
      <c r="B90" s="40" t="s">
        <v>133</v>
      </c>
      <c r="C90" s="41">
        <f>6+6</f>
        <v>12</v>
      </c>
      <c r="D90" s="81"/>
    </row>
    <row r="91" spans="1:4" ht="12.75">
      <c r="A91" s="43" t="s">
        <v>134</v>
      </c>
      <c r="B91" s="40" t="s">
        <v>39</v>
      </c>
      <c r="C91" s="41">
        <f>1.2+8.5+0.7+0.6+0.6</f>
        <v>11.599999999999998</v>
      </c>
      <c r="D91" s="81"/>
    </row>
    <row r="92" spans="1:4" ht="12.75">
      <c r="A92" s="43" t="s">
        <v>135</v>
      </c>
      <c r="B92" s="40" t="s">
        <v>67</v>
      </c>
      <c r="C92" s="40">
        <f>15+3+1</f>
        <v>19</v>
      </c>
      <c r="D92" s="81"/>
    </row>
    <row r="93" spans="1:4" ht="12.75">
      <c r="A93" s="88" t="s">
        <v>267</v>
      </c>
      <c r="B93" s="40" t="s">
        <v>122</v>
      </c>
      <c r="C93" s="41">
        <v>2</v>
      </c>
      <c r="D93" s="81"/>
    </row>
    <row r="94" spans="1:4" ht="12.75">
      <c r="A94" s="88" t="s">
        <v>268</v>
      </c>
      <c r="B94" s="40" t="s">
        <v>67</v>
      </c>
      <c r="C94" s="41">
        <v>4</v>
      </c>
      <c r="D94" s="81"/>
    </row>
    <row r="95" spans="1:4" ht="12.75">
      <c r="A95" s="35" t="s">
        <v>238</v>
      </c>
      <c r="B95" s="36"/>
      <c r="C95" s="36"/>
      <c r="D95" s="115"/>
    </row>
    <row r="96" spans="1:4" ht="12.75">
      <c r="A96" s="43" t="s">
        <v>239</v>
      </c>
      <c r="B96" s="40" t="s">
        <v>133</v>
      </c>
      <c r="C96" s="40">
        <f>5+3</f>
        <v>8</v>
      </c>
      <c r="D96" s="81"/>
    </row>
    <row r="97" spans="1:4" ht="12.75">
      <c r="A97" s="49" t="s">
        <v>141</v>
      </c>
      <c r="B97" s="36"/>
      <c r="C97" s="50"/>
      <c r="D97" s="115"/>
    </row>
    <row r="98" spans="1:4" ht="12.75">
      <c r="A98" s="52" t="s">
        <v>256</v>
      </c>
      <c r="B98" s="40" t="s">
        <v>133</v>
      </c>
      <c r="C98" s="40">
        <f>53</f>
        <v>53</v>
      </c>
      <c r="D98" s="81"/>
    </row>
    <row r="99" spans="1:4" ht="12.75">
      <c r="A99" s="51" t="s">
        <v>143</v>
      </c>
      <c r="B99" s="40" t="s">
        <v>67</v>
      </c>
      <c r="C99" s="41">
        <f>2</f>
        <v>2</v>
      </c>
      <c r="D99" s="81"/>
    </row>
    <row r="100" spans="1:4" s="1" customFormat="1" ht="12.75">
      <c r="A100" s="51" t="s">
        <v>377</v>
      </c>
      <c r="B100" s="40" t="s">
        <v>67</v>
      </c>
      <c r="C100" s="41">
        <v>2</v>
      </c>
      <c r="D100" s="47" t="s">
        <v>130</v>
      </c>
    </row>
    <row r="101" spans="1:4" ht="12.75">
      <c r="A101" s="49" t="s">
        <v>145</v>
      </c>
      <c r="B101" s="36"/>
      <c r="C101" s="36"/>
      <c r="D101" s="115"/>
    </row>
    <row r="102" spans="1:4" ht="12.75">
      <c r="A102" s="52" t="s">
        <v>194</v>
      </c>
      <c r="B102" s="41" t="s">
        <v>133</v>
      </c>
      <c r="C102" s="40">
        <f>2.8</f>
        <v>2.8</v>
      </c>
      <c r="D102" s="81"/>
    </row>
    <row r="103" spans="1:4" ht="12.75">
      <c r="A103" s="52" t="s">
        <v>223</v>
      </c>
      <c r="B103" s="41" t="s">
        <v>39</v>
      </c>
      <c r="C103" s="40">
        <v>6</v>
      </c>
      <c r="D103" s="81"/>
    </row>
    <row r="104" spans="1:4" ht="12.75">
      <c r="A104" s="52" t="s">
        <v>149</v>
      </c>
      <c r="B104" s="40" t="s">
        <v>67</v>
      </c>
      <c r="C104" s="40">
        <v>3</v>
      </c>
      <c r="D104" s="81"/>
    </row>
    <row r="105" spans="1:4" s="1" customFormat="1" ht="12.75">
      <c r="A105" s="80" t="s">
        <v>151</v>
      </c>
      <c r="B105" s="41" t="s">
        <v>39</v>
      </c>
      <c r="C105" s="41">
        <v>340</v>
      </c>
      <c r="D105" s="68" t="s">
        <v>130</v>
      </c>
    </row>
    <row r="106" spans="1:4" ht="12.75">
      <c r="A106" s="52" t="s">
        <v>378</v>
      </c>
      <c r="B106" s="41" t="s">
        <v>67</v>
      </c>
      <c r="C106" s="40">
        <v>1</v>
      </c>
      <c r="D106" s="81"/>
    </row>
    <row r="107" spans="1:4" ht="12.75">
      <c r="A107" s="52" t="s">
        <v>318</v>
      </c>
      <c r="B107" s="41" t="s">
        <v>67</v>
      </c>
      <c r="C107" s="40">
        <f>2</f>
        <v>2</v>
      </c>
      <c r="D107" s="81"/>
    </row>
    <row r="108" spans="1:4" ht="12.75">
      <c r="A108" s="52" t="s">
        <v>155</v>
      </c>
      <c r="B108" s="41" t="s">
        <v>112</v>
      </c>
      <c r="C108" s="41">
        <v>2.5</v>
      </c>
      <c r="D108" s="81"/>
    </row>
    <row r="109" spans="1:4" ht="12.75">
      <c r="A109" s="49" t="s">
        <v>157</v>
      </c>
      <c r="B109" s="36"/>
      <c r="C109" s="36"/>
      <c r="D109" s="115"/>
    </row>
    <row r="110" spans="1:4" ht="12.75">
      <c r="A110" s="51" t="s">
        <v>158</v>
      </c>
      <c r="B110" s="40" t="s">
        <v>67</v>
      </c>
      <c r="C110" s="40">
        <f>7+2+1+1</f>
        <v>11</v>
      </c>
      <c r="D110" s="81"/>
    </row>
    <row r="111" spans="1:4" ht="12.75">
      <c r="A111" s="51" t="s">
        <v>160</v>
      </c>
      <c r="B111" s="40" t="s">
        <v>67</v>
      </c>
      <c r="C111" s="40">
        <v>4</v>
      </c>
      <c r="D111" s="81"/>
    </row>
    <row r="112" spans="1:4" s="1" customFormat="1" ht="12.75">
      <c r="A112" s="80" t="s">
        <v>202</v>
      </c>
      <c r="B112" s="41" t="s">
        <v>39</v>
      </c>
      <c r="C112" s="41">
        <v>420</v>
      </c>
      <c r="D112" s="44"/>
    </row>
    <row r="113" spans="1:4" s="1" customFormat="1" ht="12.75">
      <c r="A113" s="80" t="s">
        <v>379</v>
      </c>
      <c r="B113" s="41" t="s">
        <v>39</v>
      </c>
      <c r="C113" s="41">
        <v>24</v>
      </c>
      <c r="D113" s="44"/>
    </row>
    <row r="114" spans="1:4" ht="12.75">
      <c r="A114" s="35" t="s">
        <v>161</v>
      </c>
      <c r="B114" s="36"/>
      <c r="C114" s="60"/>
      <c r="D114" s="45"/>
    </row>
    <row r="115" spans="1:4" ht="12.75">
      <c r="A115" s="54" t="s">
        <v>162</v>
      </c>
      <c r="B115" s="55" t="s">
        <v>39</v>
      </c>
      <c r="C115" s="56">
        <v>855</v>
      </c>
      <c r="D115" s="68" t="s">
        <v>44</v>
      </c>
    </row>
    <row r="116" spans="1:4" ht="12.75">
      <c r="A116" s="54" t="s">
        <v>163</v>
      </c>
      <c r="B116" s="58" t="s">
        <v>39</v>
      </c>
      <c r="C116" s="56">
        <v>855</v>
      </c>
      <c r="D116" s="89" t="s">
        <v>164</v>
      </c>
    </row>
    <row r="117" spans="1:4" ht="12.75">
      <c r="A117" s="35" t="s">
        <v>165</v>
      </c>
      <c r="B117" s="36"/>
      <c r="C117" s="60"/>
      <c r="D117" s="45"/>
    </row>
    <row r="118" spans="1:4" ht="12.75">
      <c r="A118" s="54" t="s">
        <v>162</v>
      </c>
      <c r="B118" s="55" t="s">
        <v>39</v>
      </c>
      <c r="C118" s="56">
        <f>855+107.52</f>
        <v>962.52</v>
      </c>
      <c r="D118" s="68" t="s">
        <v>44</v>
      </c>
    </row>
    <row r="119" spans="1:4" ht="12.75">
      <c r="A119" s="54" t="s">
        <v>163</v>
      </c>
      <c r="B119" s="55" t="s">
        <v>39</v>
      </c>
      <c r="C119" s="56">
        <f>855+107.52</f>
        <v>962.52</v>
      </c>
      <c r="D119" s="89" t="s">
        <v>164</v>
      </c>
    </row>
    <row r="120" spans="1:4" ht="12.75">
      <c r="A120" s="35" t="s">
        <v>166</v>
      </c>
      <c r="B120" s="36"/>
      <c r="C120" s="60"/>
      <c r="D120" s="45"/>
    </row>
    <row r="121" spans="1:4" ht="12.75">
      <c r="A121" s="54" t="s">
        <v>162</v>
      </c>
      <c r="B121" s="55" t="s">
        <v>39</v>
      </c>
      <c r="C121" s="56">
        <f>855+268.6+276.3</f>
        <v>1399.8999999999999</v>
      </c>
      <c r="D121" s="47" t="s">
        <v>175</v>
      </c>
    </row>
    <row r="122" spans="1:4" ht="12.75">
      <c r="A122" s="54" t="s">
        <v>163</v>
      </c>
      <c r="B122" s="58" t="s">
        <v>39</v>
      </c>
      <c r="C122" s="56">
        <f>855+268.6+276.3</f>
        <v>1399.8999999999999</v>
      </c>
      <c r="D122" s="89" t="s">
        <v>164</v>
      </c>
    </row>
    <row r="125" ht="12.75">
      <c r="A125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E141"/>
  <sheetViews>
    <sheetView workbookViewId="0" topLeftCell="A133">
      <selection activeCell="A173" sqref="A173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176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177</v>
      </c>
    </row>
    <row r="8" spans="1:3" ht="12.75">
      <c r="A8" s="1" t="s">
        <v>7</v>
      </c>
      <c r="C8" s="4" t="s">
        <v>178</v>
      </c>
    </row>
    <row r="9" spans="1:3" ht="12.75">
      <c r="A9" s="1" t="s">
        <v>9</v>
      </c>
      <c r="C9" s="70" t="s">
        <v>179</v>
      </c>
    </row>
    <row r="10" ht="12.75">
      <c r="C10" s="7"/>
    </row>
    <row r="11" spans="1:3" ht="12.75">
      <c r="A11" s="1" t="s">
        <v>11</v>
      </c>
      <c r="C11" s="7" t="s">
        <v>180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24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s="1" t="s">
        <v>32</v>
      </c>
      <c r="C24" s="71">
        <v>0.9129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12.75">
      <c r="A29" s="13" t="s">
        <v>38</v>
      </c>
      <c r="B29" s="14" t="s">
        <v>39</v>
      </c>
      <c r="C29" s="15">
        <v>1378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1378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5993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175</v>
      </c>
      <c r="D32" s="16" t="s">
        <v>46</v>
      </c>
    </row>
    <row r="33" spans="1:4" ht="12.75">
      <c r="A33" s="13" t="s">
        <v>47</v>
      </c>
      <c r="B33" s="17" t="s">
        <v>39</v>
      </c>
      <c r="C33" s="15">
        <v>525</v>
      </c>
      <c r="D33" s="16" t="s">
        <v>48</v>
      </c>
    </row>
    <row r="34" spans="1:4" ht="12.75">
      <c r="A34" s="13" t="s">
        <v>49</v>
      </c>
      <c r="B34" s="17" t="s">
        <v>50</v>
      </c>
      <c r="C34" s="15">
        <v>1378</v>
      </c>
      <c r="D34" s="16" t="s">
        <v>51</v>
      </c>
    </row>
    <row r="35" spans="1:4" ht="12.75">
      <c r="A35" s="13" t="s">
        <v>52</v>
      </c>
      <c r="B35" s="17" t="s">
        <v>39</v>
      </c>
      <c r="C35" s="15">
        <v>2068</v>
      </c>
      <c r="D35" s="16" t="s">
        <v>53</v>
      </c>
    </row>
    <row r="36" spans="1:4" ht="12.75">
      <c r="A36" s="13" t="s">
        <v>54</v>
      </c>
      <c r="B36" s="17" t="s">
        <v>39</v>
      </c>
      <c r="C36" s="15">
        <v>6</v>
      </c>
      <c r="D36" s="16" t="s">
        <v>55</v>
      </c>
    </row>
    <row r="37" spans="1:4" ht="12.75" customHeight="1">
      <c r="A37" s="13" t="s">
        <v>56</v>
      </c>
      <c r="B37" s="17" t="s">
        <v>39</v>
      </c>
      <c r="C37" s="15">
        <v>6</v>
      </c>
      <c r="D37" s="16" t="s">
        <v>57</v>
      </c>
    </row>
    <row r="38" spans="1:4" ht="12.75">
      <c r="A38" s="13"/>
      <c r="B38" s="17" t="s">
        <v>39</v>
      </c>
      <c r="C38" s="15">
        <v>6</v>
      </c>
      <c r="D38" s="16" t="s">
        <v>58</v>
      </c>
    </row>
    <row r="39" spans="1:4" ht="12.75">
      <c r="A39" s="13" t="s">
        <v>59</v>
      </c>
      <c r="B39" s="17" t="s">
        <v>39</v>
      </c>
      <c r="C39" s="15">
        <v>54</v>
      </c>
      <c r="D39" s="16" t="s">
        <v>60</v>
      </c>
    </row>
    <row r="40" spans="1:4" ht="12.75">
      <c r="A40" s="13" t="s">
        <v>61</v>
      </c>
      <c r="B40" s="17" t="s">
        <v>39</v>
      </c>
      <c r="C40" s="15">
        <v>1845.1</v>
      </c>
      <c r="D40" s="16" t="s">
        <v>46</v>
      </c>
    </row>
    <row r="41" spans="1:4" ht="25.5">
      <c r="A41" s="13" t="s">
        <v>62</v>
      </c>
      <c r="B41" s="17" t="s">
        <v>39</v>
      </c>
      <c r="C41" s="73">
        <v>1378</v>
      </c>
      <c r="D41" s="16" t="s">
        <v>53</v>
      </c>
    </row>
    <row r="42" spans="1:4" ht="12.75">
      <c r="A42" s="13" t="s">
        <v>63</v>
      </c>
      <c r="B42" s="17" t="s">
        <v>39</v>
      </c>
      <c r="C42" s="15">
        <v>6</v>
      </c>
      <c r="D42" s="16" t="s">
        <v>44</v>
      </c>
    </row>
    <row r="43" spans="1:4" ht="12.75">
      <c r="A43" s="13" t="s">
        <v>64</v>
      </c>
      <c r="B43" s="17" t="s">
        <v>39</v>
      </c>
      <c r="C43" s="15">
        <v>241.2</v>
      </c>
      <c r="D43" s="16" t="s">
        <v>44</v>
      </c>
    </row>
    <row r="44" spans="1:4" ht="25.5">
      <c r="A44" s="13" t="s">
        <v>65</v>
      </c>
      <c r="B44" s="17" t="s">
        <v>39</v>
      </c>
      <c r="C44" s="15">
        <v>114</v>
      </c>
      <c r="D44" s="16" t="s">
        <v>53</v>
      </c>
    </row>
    <row r="45" spans="1:4" ht="12.75">
      <c r="A45" s="13" t="s">
        <v>66</v>
      </c>
      <c r="B45" s="17" t="s">
        <v>67</v>
      </c>
      <c r="C45" s="15">
        <v>6</v>
      </c>
      <c r="D45" s="16" t="s">
        <v>60</v>
      </c>
    </row>
    <row r="46" spans="1:4" ht="25.5">
      <c r="A46" s="13" t="s">
        <v>68</v>
      </c>
      <c r="B46" s="17" t="s">
        <v>67</v>
      </c>
      <c r="C46" s="15">
        <v>6</v>
      </c>
      <c r="D46" s="16" t="s">
        <v>69</v>
      </c>
    </row>
    <row r="47" spans="1:4" ht="12.75">
      <c r="A47" s="13" t="s">
        <v>70</v>
      </c>
      <c r="B47" s="17" t="s">
        <v>39</v>
      </c>
      <c r="C47" s="15">
        <v>30</v>
      </c>
      <c r="D47" s="16" t="s">
        <v>71</v>
      </c>
    </row>
    <row r="48" spans="1:4" ht="25.5">
      <c r="A48" s="13" t="s">
        <v>72</v>
      </c>
      <c r="B48" s="17" t="s">
        <v>39</v>
      </c>
      <c r="C48" s="15">
        <f>1*1.88*8*6</f>
        <v>90.24</v>
      </c>
      <c r="D48" s="16" t="s">
        <v>53</v>
      </c>
    </row>
    <row r="49" spans="1:4" ht="25.5">
      <c r="A49" s="13" t="s">
        <v>73</v>
      </c>
      <c r="B49" s="17" t="s">
        <v>67</v>
      </c>
      <c r="C49" s="15">
        <v>6</v>
      </c>
      <c r="D49" s="16" t="s">
        <v>44</v>
      </c>
    </row>
    <row r="50" spans="1:4" ht="12.75">
      <c r="A50" s="13" t="s">
        <v>74</v>
      </c>
      <c r="B50" s="17" t="s">
        <v>39</v>
      </c>
      <c r="C50" s="15">
        <v>1738.3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25.5" customHeight="1">
      <c r="A56" s="13" t="s">
        <v>82</v>
      </c>
      <c r="B56" s="24" t="s">
        <v>79</v>
      </c>
      <c r="C56" s="24"/>
      <c r="D56" s="13" t="s">
        <v>83</v>
      </c>
    </row>
    <row r="57" spans="1:4" ht="25.5" customHeight="1">
      <c r="A57" s="13" t="s">
        <v>84</v>
      </c>
      <c r="B57" s="24" t="s">
        <v>79</v>
      </c>
      <c r="C57" s="24"/>
      <c r="D57" s="13" t="s">
        <v>83</v>
      </c>
    </row>
    <row r="58" spans="1:4" ht="25.5" customHeight="1">
      <c r="A58" s="13" t="s">
        <v>85</v>
      </c>
      <c r="B58" s="24" t="s">
        <v>79</v>
      </c>
      <c r="C58" s="24"/>
      <c r="D58" s="13" t="s">
        <v>86</v>
      </c>
    </row>
    <row r="59" spans="1:4" ht="25.5" customHeight="1">
      <c r="A59" s="13" t="s">
        <v>87</v>
      </c>
      <c r="B59" s="24" t="s">
        <v>79</v>
      </c>
      <c r="C59" s="24"/>
      <c r="D59" s="13" t="s">
        <v>88</v>
      </c>
    </row>
    <row r="60" spans="1:4" ht="25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5.5" customHeight="1">
      <c r="A62" s="13" t="s">
        <v>91</v>
      </c>
      <c r="B62" s="24" t="s">
        <v>79</v>
      </c>
      <c r="C62" s="24"/>
      <c r="D62" s="13" t="s">
        <v>92</v>
      </c>
    </row>
    <row r="63" spans="1:4" ht="25.5" customHeight="1">
      <c r="A63" s="25" t="s">
        <v>93</v>
      </c>
      <c r="B63" s="26" t="s">
        <v>79</v>
      </c>
      <c r="C63" s="26"/>
      <c r="D63" s="27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7.75" customHeight="1">
      <c r="A65" s="13" t="s">
        <v>96</v>
      </c>
      <c r="B65" s="24" t="s">
        <v>79</v>
      </c>
      <c r="C65" s="24"/>
      <c r="D65" s="13" t="s">
        <v>88</v>
      </c>
    </row>
    <row r="66" spans="1:4" ht="25.5" customHeight="1">
      <c r="A66" s="13" t="s">
        <v>97</v>
      </c>
      <c r="B66" s="24" t="s">
        <v>79</v>
      </c>
      <c r="C66" s="24"/>
      <c r="D66" s="13" t="s">
        <v>98</v>
      </c>
    </row>
    <row r="67" spans="1:4" ht="25.5" customHeight="1">
      <c r="A67" s="13" t="s">
        <v>99</v>
      </c>
      <c r="B67" s="24" t="s">
        <v>79</v>
      </c>
      <c r="C67" s="24"/>
      <c r="D67" s="13" t="s">
        <v>100</v>
      </c>
    </row>
    <row r="68" spans="1:4" ht="27.75" customHeight="1">
      <c r="A68" s="13" t="s">
        <v>101</v>
      </c>
      <c r="B68" s="24" t="s">
        <v>79</v>
      </c>
      <c r="C68" s="24"/>
      <c r="D68" s="13" t="s">
        <v>88</v>
      </c>
    </row>
    <row r="69" spans="1:4" ht="26.25" customHeight="1">
      <c r="A69" s="13" t="s">
        <v>102</v>
      </c>
      <c r="B69" s="24" t="s">
        <v>79</v>
      </c>
      <c r="C69" s="24"/>
      <c r="D69" s="13" t="s">
        <v>60</v>
      </c>
    </row>
    <row r="70" spans="1:4" ht="30" customHeight="1">
      <c r="A70" s="13" t="s">
        <v>103</v>
      </c>
      <c r="B70" s="24" t="s">
        <v>79</v>
      </c>
      <c r="C70" s="24"/>
      <c r="D70" s="13" t="s">
        <v>104</v>
      </c>
    </row>
    <row r="71" spans="1:4" ht="25.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4.75" customHeight="1">
      <c r="A73" s="13" t="s">
        <v>89</v>
      </c>
      <c r="B73" s="24" t="s">
        <v>79</v>
      </c>
      <c r="C73" s="24"/>
      <c r="D73" s="13" t="s">
        <v>40</v>
      </c>
    </row>
    <row r="74" spans="1:4" ht="25.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4" ht="27.75" customHeight="1">
      <c r="A76" s="13" t="s">
        <v>111</v>
      </c>
      <c r="B76" s="14" t="s">
        <v>112</v>
      </c>
      <c r="C76" s="15">
        <f>557*1.15*12</f>
        <v>7686.599999999999</v>
      </c>
      <c r="D76" s="74" t="s">
        <v>69</v>
      </c>
    </row>
    <row r="77" spans="1:4" ht="12.75">
      <c r="A77" s="13" t="s">
        <v>113</v>
      </c>
      <c r="B77" s="33" t="s">
        <v>112</v>
      </c>
      <c r="C77" s="15">
        <f>0.75*6*2*51</f>
        <v>459</v>
      </c>
      <c r="D77" s="74" t="s">
        <v>114</v>
      </c>
    </row>
    <row r="78" spans="1:4" ht="12.75">
      <c r="A78" s="13" t="s">
        <v>115</v>
      </c>
      <c r="B78" s="14" t="s">
        <v>67</v>
      </c>
      <c r="C78" s="15">
        <v>6</v>
      </c>
      <c r="D78" s="74" t="s">
        <v>116</v>
      </c>
    </row>
    <row r="79" spans="1:4" ht="12.75" customHeight="1">
      <c r="A79" s="75" t="s">
        <v>117</v>
      </c>
      <c r="B79" s="75"/>
      <c r="C79" s="76"/>
      <c r="D79" s="77"/>
    </row>
    <row r="80" spans="1:4" ht="12.75">
      <c r="A80" s="35" t="s">
        <v>118</v>
      </c>
      <c r="B80" s="36"/>
      <c r="C80" s="37"/>
      <c r="D80" s="38"/>
    </row>
    <row r="81" spans="1:4" ht="12.75">
      <c r="A81" s="39" t="s">
        <v>119</v>
      </c>
      <c r="B81" s="40" t="s">
        <v>39</v>
      </c>
      <c r="C81" s="41">
        <f>4+16</f>
        <v>20</v>
      </c>
      <c r="D81" s="42"/>
    </row>
    <row r="82" spans="1:4" ht="12.75">
      <c r="A82" s="39" t="s">
        <v>120</v>
      </c>
      <c r="B82" s="40" t="s">
        <v>67</v>
      </c>
      <c r="C82" s="41">
        <f>6+6+6+6+2</f>
        <v>26</v>
      </c>
      <c r="D82" s="42"/>
    </row>
    <row r="83" spans="1:4" ht="12.75">
      <c r="A83" s="39" t="s">
        <v>181</v>
      </c>
      <c r="B83" s="40" t="s">
        <v>67</v>
      </c>
      <c r="C83" s="41">
        <f>8+1</f>
        <v>9</v>
      </c>
      <c r="D83" s="42"/>
    </row>
    <row r="84" spans="1:4" ht="12.75">
      <c r="A84" s="39" t="s">
        <v>182</v>
      </c>
      <c r="B84" s="40" t="s">
        <v>39</v>
      </c>
      <c r="C84" s="41">
        <v>8</v>
      </c>
      <c r="D84" s="42"/>
    </row>
    <row r="85" spans="1:4" ht="12.75">
      <c r="A85" s="39" t="s">
        <v>183</v>
      </c>
      <c r="B85" s="40" t="s">
        <v>133</v>
      </c>
      <c r="C85" s="41">
        <v>118</v>
      </c>
      <c r="D85" s="42"/>
    </row>
    <row r="86" spans="1:4" ht="12.75">
      <c r="A86" s="35" t="s">
        <v>124</v>
      </c>
      <c r="B86" s="36"/>
      <c r="C86" s="36"/>
      <c r="D86" s="45"/>
    </row>
    <row r="87" spans="1:4" ht="12.75">
      <c r="A87" s="39" t="s">
        <v>184</v>
      </c>
      <c r="B87" s="40" t="s">
        <v>39</v>
      </c>
      <c r="C87" s="41">
        <v>25</v>
      </c>
      <c r="D87" s="42"/>
    </row>
    <row r="88" spans="1:4" ht="12.75">
      <c r="A88" s="35" t="s">
        <v>126</v>
      </c>
      <c r="B88" s="36"/>
      <c r="C88" s="36"/>
      <c r="D88" s="45"/>
    </row>
    <row r="89" spans="1:4" ht="12.75">
      <c r="A89" s="43" t="s">
        <v>127</v>
      </c>
      <c r="B89" s="46" t="s">
        <v>67</v>
      </c>
      <c r="C89" s="41">
        <f>1+1</f>
        <v>2</v>
      </c>
      <c r="D89" s="42"/>
    </row>
    <row r="90" spans="1:4" ht="12.75">
      <c r="A90" s="43" t="s">
        <v>185</v>
      </c>
      <c r="B90" s="46" t="s">
        <v>67</v>
      </c>
      <c r="C90" s="41">
        <f>1+1</f>
        <v>2</v>
      </c>
      <c r="D90" s="42"/>
    </row>
    <row r="91" spans="1:4" ht="12.75">
      <c r="A91" s="43" t="s">
        <v>128</v>
      </c>
      <c r="B91" s="46" t="s">
        <v>67</v>
      </c>
      <c r="C91" s="41">
        <f>1+3+1</f>
        <v>5</v>
      </c>
      <c r="D91" s="42"/>
    </row>
    <row r="92" spans="1:4" s="1" customFormat="1" ht="12.75">
      <c r="A92" s="43" t="s">
        <v>129</v>
      </c>
      <c r="B92" s="40" t="s">
        <v>67</v>
      </c>
      <c r="C92" s="41">
        <v>6</v>
      </c>
      <c r="D92" s="78" t="s">
        <v>186</v>
      </c>
    </row>
    <row r="93" spans="1:4" s="1" customFormat="1" ht="12.75">
      <c r="A93" s="43" t="s">
        <v>131</v>
      </c>
      <c r="B93" s="41" t="s">
        <v>67</v>
      </c>
      <c r="C93" s="41">
        <v>6</v>
      </c>
      <c r="D93" s="78" t="s">
        <v>130</v>
      </c>
    </row>
    <row r="94" spans="1:4" ht="12.75">
      <c r="A94" s="43" t="s">
        <v>187</v>
      </c>
      <c r="B94" s="46" t="s">
        <v>67</v>
      </c>
      <c r="C94" s="41">
        <f>1+1+1+1+2</f>
        <v>6</v>
      </c>
      <c r="D94" s="42"/>
    </row>
    <row r="95" spans="1:4" ht="12.75">
      <c r="A95" s="43" t="s">
        <v>188</v>
      </c>
      <c r="B95" s="46" t="s">
        <v>67</v>
      </c>
      <c r="C95" s="41">
        <f>1+1</f>
        <v>2</v>
      </c>
      <c r="D95" s="42"/>
    </row>
    <row r="96" spans="1:4" ht="12.75">
      <c r="A96" s="43" t="s">
        <v>189</v>
      </c>
      <c r="B96" s="40" t="s">
        <v>133</v>
      </c>
      <c r="C96" s="41">
        <f>3</f>
        <v>3</v>
      </c>
      <c r="D96" s="42"/>
    </row>
    <row r="97" spans="1:4" ht="12.75">
      <c r="A97" s="43" t="s">
        <v>132</v>
      </c>
      <c r="B97" s="40" t="s">
        <v>133</v>
      </c>
      <c r="C97" s="41">
        <v>39</v>
      </c>
      <c r="D97" s="42"/>
    </row>
    <row r="98" spans="1:4" ht="12.75">
      <c r="A98" s="43" t="s">
        <v>190</v>
      </c>
      <c r="B98" s="40" t="s">
        <v>67</v>
      </c>
      <c r="C98" s="41">
        <v>2</v>
      </c>
      <c r="D98" s="42"/>
    </row>
    <row r="99" spans="1:4" ht="12.75">
      <c r="A99" s="43" t="s">
        <v>134</v>
      </c>
      <c r="B99" s="40" t="s">
        <v>39</v>
      </c>
      <c r="C99" s="41">
        <f>0.7+0.7+5.5+0.7+0.8+1.3+0.2+3.2+0.9+0.4+0.7</f>
        <v>15.100000000000001</v>
      </c>
      <c r="D99" s="42"/>
    </row>
    <row r="100" spans="1:4" ht="12.75">
      <c r="A100" s="43" t="s">
        <v>135</v>
      </c>
      <c r="B100" s="40" t="s">
        <v>67</v>
      </c>
      <c r="C100" s="41">
        <f>1+6+1+10</f>
        <v>18</v>
      </c>
      <c r="D100" s="42"/>
    </row>
    <row r="101" spans="1:4" ht="12.75">
      <c r="A101" s="43" t="s">
        <v>136</v>
      </c>
      <c r="B101" s="40" t="s">
        <v>67</v>
      </c>
      <c r="C101" s="41">
        <f>1+1</f>
        <v>2</v>
      </c>
      <c r="D101" s="42"/>
    </row>
    <row r="102" spans="1:4" ht="12.75">
      <c r="A102" s="35" t="s">
        <v>139</v>
      </c>
      <c r="B102" s="36"/>
      <c r="C102" s="36"/>
      <c r="D102" s="45"/>
    </row>
    <row r="103" spans="1:4" ht="12.75">
      <c r="A103" s="39" t="s">
        <v>140</v>
      </c>
      <c r="B103" s="40" t="s">
        <v>39</v>
      </c>
      <c r="C103" s="40">
        <v>2.5</v>
      </c>
      <c r="D103" s="42"/>
    </row>
    <row r="104" spans="1:4" ht="12.75">
      <c r="A104" s="79" t="s">
        <v>191</v>
      </c>
      <c r="B104" s="40" t="s">
        <v>133</v>
      </c>
      <c r="C104" s="40">
        <v>30</v>
      </c>
      <c r="D104" s="42"/>
    </row>
    <row r="105" spans="1:4" ht="12.75">
      <c r="A105" s="49" t="s">
        <v>141</v>
      </c>
      <c r="B105" s="36"/>
      <c r="C105" s="50"/>
      <c r="D105" s="45"/>
    </row>
    <row r="106" spans="1:4" ht="12.75">
      <c r="A106" s="51" t="s">
        <v>192</v>
      </c>
      <c r="B106" s="41" t="s">
        <v>67</v>
      </c>
      <c r="C106" s="40">
        <v>2</v>
      </c>
      <c r="D106" s="42"/>
    </row>
    <row r="107" spans="1:4" ht="12.75">
      <c r="A107" s="51" t="s">
        <v>193</v>
      </c>
      <c r="B107" s="41" t="s">
        <v>67</v>
      </c>
      <c r="C107" s="40">
        <f>1+1</f>
        <v>2</v>
      </c>
      <c r="D107" s="42"/>
    </row>
    <row r="108" spans="1:4" ht="12.75">
      <c r="A108" s="51" t="s">
        <v>143</v>
      </c>
      <c r="B108" s="40" t="s">
        <v>67</v>
      </c>
      <c r="C108" s="41">
        <v>6</v>
      </c>
      <c r="D108" s="42"/>
    </row>
    <row r="109" spans="1:4" ht="12.75">
      <c r="A109" s="49" t="s">
        <v>145</v>
      </c>
      <c r="B109" s="36"/>
      <c r="C109" s="36"/>
      <c r="D109" s="45"/>
    </row>
    <row r="110" spans="1:4" ht="12.75">
      <c r="A110" s="52" t="s">
        <v>194</v>
      </c>
      <c r="B110" s="41" t="s">
        <v>133</v>
      </c>
      <c r="C110" s="40">
        <f>1+3</f>
        <v>4</v>
      </c>
      <c r="D110" s="42"/>
    </row>
    <row r="111" spans="1:4" ht="12.75">
      <c r="A111" s="52" t="s">
        <v>195</v>
      </c>
      <c r="B111" s="41" t="s">
        <v>112</v>
      </c>
      <c r="C111" s="40">
        <v>7</v>
      </c>
      <c r="D111" s="42"/>
    </row>
    <row r="112" spans="1:4" ht="12.75">
      <c r="A112" s="52" t="s">
        <v>147</v>
      </c>
      <c r="B112" s="40" t="s">
        <v>67</v>
      </c>
      <c r="C112" s="40">
        <v>6</v>
      </c>
      <c r="D112" s="42"/>
    </row>
    <row r="113" spans="1:4" ht="12.75">
      <c r="A113" s="52" t="s">
        <v>149</v>
      </c>
      <c r="B113" s="40" t="s">
        <v>67</v>
      </c>
      <c r="C113" s="40">
        <v>6</v>
      </c>
      <c r="D113" s="42"/>
    </row>
    <row r="114" spans="1:4" ht="12.75">
      <c r="A114" s="52" t="s">
        <v>196</v>
      </c>
      <c r="B114" s="41" t="s">
        <v>67</v>
      </c>
      <c r="C114" s="40">
        <f>6+1</f>
        <v>7</v>
      </c>
      <c r="D114" s="42"/>
    </row>
    <row r="115" spans="1:4" ht="12.75">
      <c r="A115" s="52" t="s">
        <v>151</v>
      </c>
      <c r="B115" s="41" t="s">
        <v>39</v>
      </c>
      <c r="C115" s="40">
        <f>1859</f>
        <v>1859</v>
      </c>
      <c r="D115" s="42"/>
    </row>
    <row r="116" spans="1:4" ht="12.75">
      <c r="A116" s="52" t="s">
        <v>197</v>
      </c>
      <c r="B116" s="41" t="s">
        <v>67</v>
      </c>
      <c r="C116" s="40">
        <v>5</v>
      </c>
      <c r="D116" s="42"/>
    </row>
    <row r="117" spans="1:4" ht="12.75">
      <c r="A117" s="52" t="s">
        <v>152</v>
      </c>
      <c r="B117" s="41" t="s">
        <v>133</v>
      </c>
      <c r="C117" s="40">
        <v>13.5</v>
      </c>
      <c r="D117" s="42"/>
    </row>
    <row r="118" spans="1:4" ht="12.75">
      <c r="A118" s="53" t="s">
        <v>153</v>
      </c>
      <c r="B118" s="41" t="s">
        <v>67</v>
      </c>
      <c r="C118" s="40">
        <f>15+13+9+8</f>
        <v>45</v>
      </c>
      <c r="D118" s="42"/>
    </row>
    <row r="119" spans="1:4" ht="12.75">
      <c r="A119" s="52" t="s">
        <v>198</v>
      </c>
      <c r="B119" s="41" t="s">
        <v>67</v>
      </c>
      <c r="C119" s="40">
        <f>1</f>
        <v>1</v>
      </c>
      <c r="D119" s="42"/>
    </row>
    <row r="120" spans="1:4" ht="12.75">
      <c r="A120" s="52" t="s">
        <v>154</v>
      </c>
      <c r="B120" s="41" t="s">
        <v>67</v>
      </c>
      <c r="C120" s="40">
        <v>6</v>
      </c>
      <c r="D120" s="42"/>
    </row>
    <row r="121" spans="1:4" ht="12.75">
      <c r="A121" s="52" t="s">
        <v>199</v>
      </c>
      <c r="B121" s="41" t="s">
        <v>67</v>
      </c>
      <c r="C121" s="40">
        <f>1</f>
        <v>1</v>
      </c>
      <c r="D121" s="42"/>
    </row>
    <row r="122" spans="1:4" ht="12.75">
      <c r="A122" s="51" t="s">
        <v>200</v>
      </c>
      <c r="B122" s="40" t="s">
        <v>67</v>
      </c>
      <c r="C122" s="40">
        <f>2</f>
        <v>2</v>
      </c>
      <c r="D122" s="42"/>
    </row>
    <row r="123" spans="1:4" ht="12.75">
      <c r="A123" s="49" t="s">
        <v>157</v>
      </c>
      <c r="B123" s="36"/>
      <c r="C123" s="36"/>
      <c r="D123" s="45"/>
    </row>
    <row r="124" spans="1:4" s="1" customFormat="1" ht="12.75">
      <c r="A124" s="80" t="s">
        <v>158</v>
      </c>
      <c r="B124" s="41" t="s">
        <v>67</v>
      </c>
      <c r="C124" s="41">
        <v>10</v>
      </c>
      <c r="D124" s="68" t="s">
        <v>201</v>
      </c>
    </row>
    <row r="125" spans="1:4" s="1" customFormat="1" ht="12.75">
      <c r="A125" s="80" t="s">
        <v>202</v>
      </c>
      <c r="B125" s="41" t="s">
        <v>39</v>
      </c>
      <c r="C125" s="41">
        <v>154</v>
      </c>
      <c r="D125" s="81"/>
    </row>
    <row r="126" spans="1:4" ht="12.75">
      <c r="A126" s="51" t="s">
        <v>203</v>
      </c>
      <c r="B126" s="40" t="s">
        <v>67</v>
      </c>
      <c r="C126" s="40">
        <v>3</v>
      </c>
      <c r="D126" s="42"/>
    </row>
    <row r="127" spans="1:4" ht="12.75">
      <c r="A127" s="51" t="s">
        <v>159</v>
      </c>
      <c r="B127" s="40" t="s">
        <v>67</v>
      </c>
      <c r="C127" s="40">
        <v>6</v>
      </c>
      <c r="D127" s="42"/>
    </row>
    <row r="128" spans="1:4" ht="13.5" customHeight="1">
      <c r="A128" s="51" t="s">
        <v>160</v>
      </c>
      <c r="B128" s="40" t="s">
        <v>67</v>
      </c>
      <c r="C128" s="40">
        <v>6</v>
      </c>
      <c r="D128" s="42"/>
    </row>
    <row r="129" spans="1:4" ht="25.5">
      <c r="A129" s="35" t="s">
        <v>161</v>
      </c>
      <c r="B129" s="36"/>
      <c r="C129" s="82"/>
      <c r="D129" s="45"/>
    </row>
    <row r="130" spans="1:4" ht="12.75">
      <c r="A130" s="54" t="s">
        <v>162</v>
      </c>
      <c r="B130" s="55" t="s">
        <v>39</v>
      </c>
      <c r="C130" s="56">
        <f>1738.3</f>
        <v>1738.3</v>
      </c>
      <c r="D130" s="57" t="s">
        <v>44</v>
      </c>
    </row>
    <row r="131" spans="1:4" ht="25.5">
      <c r="A131" s="54" t="s">
        <v>163</v>
      </c>
      <c r="B131" s="58" t="s">
        <v>39</v>
      </c>
      <c r="C131" s="56">
        <f>1738.3</f>
        <v>1738.3</v>
      </c>
      <c r="D131" s="59" t="s">
        <v>164</v>
      </c>
    </row>
    <row r="132" spans="1:4" ht="12.75">
      <c r="A132" s="35" t="s">
        <v>165</v>
      </c>
      <c r="B132" s="60"/>
      <c r="C132" s="82"/>
      <c r="D132" s="45"/>
    </row>
    <row r="133" spans="1:4" ht="12.75">
      <c r="A133" s="54" t="s">
        <v>162</v>
      </c>
      <c r="B133" s="55" t="s">
        <v>39</v>
      </c>
      <c r="C133" s="56">
        <f>1738.3+161.28</f>
        <v>1899.58</v>
      </c>
      <c r="D133" s="57" t="s">
        <v>44</v>
      </c>
    </row>
    <row r="134" spans="1:4" ht="12.75">
      <c r="A134" s="54" t="s">
        <v>163</v>
      </c>
      <c r="B134" s="55" t="s">
        <v>39</v>
      </c>
      <c r="C134" s="56">
        <f>1738.3+161.28</f>
        <v>1899.58</v>
      </c>
      <c r="D134" s="59" t="s">
        <v>164</v>
      </c>
    </row>
    <row r="135" spans="1:4" ht="12.75">
      <c r="A135" s="35" t="s">
        <v>166</v>
      </c>
      <c r="B135" s="60"/>
      <c r="C135" s="82"/>
      <c r="D135" s="45"/>
    </row>
    <row r="136" spans="1:4" ht="12.75">
      <c r="A136" s="54" t="s">
        <v>162</v>
      </c>
      <c r="B136" s="55" t="s">
        <v>39</v>
      </c>
      <c r="C136" s="56">
        <f>1738.3+576.8+998</f>
        <v>3313.1</v>
      </c>
      <c r="D136" s="47" t="s">
        <v>175</v>
      </c>
    </row>
    <row r="137" spans="1:4" ht="12.75">
      <c r="A137" s="54" t="s">
        <v>163</v>
      </c>
      <c r="B137" s="58" t="s">
        <v>39</v>
      </c>
      <c r="C137" s="56">
        <f>1738.3+576.8+998</f>
        <v>3313.1</v>
      </c>
      <c r="D137" s="59" t="s">
        <v>164</v>
      </c>
    </row>
    <row r="138" spans="1:4" ht="13.5" customHeight="1">
      <c r="A138" s="35" t="s">
        <v>168</v>
      </c>
      <c r="B138" s="36"/>
      <c r="C138" s="82"/>
      <c r="D138" s="45"/>
    </row>
    <row r="139" spans="1:5" ht="12.75">
      <c r="A139" s="54" t="s">
        <v>169</v>
      </c>
      <c r="B139" s="55" t="s">
        <v>170</v>
      </c>
      <c r="C139" s="66" t="s">
        <v>204</v>
      </c>
      <c r="D139" s="47" t="s">
        <v>44</v>
      </c>
      <c r="E139" s="67"/>
    </row>
    <row r="140" spans="1:4" ht="12.75">
      <c r="A140" s="54" t="s">
        <v>172</v>
      </c>
      <c r="B140" s="55" t="s">
        <v>170</v>
      </c>
      <c r="C140" s="66" t="s">
        <v>204</v>
      </c>
      <c r="D140" s="47" t="s">
        <v>205</v>
      </c>
    </row>
    <row r="141" spans="1:4" ht="12.75">
      <c r="A141" s="69" t="s">
        <v>174</v>
      </c>
      <c r="B141" s="55" t="s">
        <v>170</v>
      </c>
      <c r="C141" s="55">
        <v>6</v>
      </c>
      <c r="D141" s="68" t="s">
        <v>175</v>
      </c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F107"/>
  <sheetViews>
    <sheetView workbookViewId="0" topLeftCell="A76">
      <selection activeCell="A108" sqref="A108"/>
    </sheetView>
  </sheetViews>
  <sheetFormatPr defaultColWidth="9.00390625" defaultRowHeight="12.75"/>
  <cols>
    <col min="1" max="1" width="47.125" style="1" customWidth="1"/>
    <col min="2" max="2" width="12.125" style="1" customWidth="1"/>
    <col min="3" max="3" width="11.875" style="1" customWidth="1"/>
    <col min="4" max="4" width="23.7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380</v>
      </c>
      <c r="B4" s="3"/>
      <c r="C4" s="3"/>
    </row>
    <row r="5" spans="1:3" ht="12.75" customHeight="1">
      <c r="A5" s="2" t="s">
        <v>4</v>
      </c>
      <c r="B5" s="2"/>
      <c r="C5" s="2"/>
    </row>
    <row r="6" ht="10.5" customHeight="1"/>
    <row r="7" spans="1:3" ht="12.75">
      <c r="A7" s="1" t="s">
        <v>5</v>
      </c>
      <c r="C7" s="4" t="s">
        <v>381</v>
      </c>
    </row>
    <row r="8" spans="1:3" ht="12.75">
      <c r="A8" s="1" t="s">
        <v>7</v>
      </c>
      <c r="C8" s="4" t="s">
        <v>382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" t="s">
        <v>383</v>
      </c>
    </row>
    <row r="12" spans="1:3" ht="12.75">
      <c r="A12" s="1" t="s">
        <v>13</v>
      </c>
      <c r="C12" s="83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23</v>
      </c>
      <c r="B17" s="1" t="s">
        <v>232</v>
      </c>
      <c r="C17" s="7"/>
    </row>
    <row r="18" spans="1:3" ht="12.75">
      <c r="A18" s="1" t="s">
        <v>25</v>
      </c>
      <c r="B18" s="1" t="s">
        <v>26</v>
      </c>
      <c r="C18" s="7"/>
    </row>
    <row r="19" spans="1:3" ht="12.75">
      <c r="A19" s="1" t="s">
        <v>27</v>
      </c>
      <c r="B19" s="1" t="s">
        <v>28</v>
      </c>
      <c r="C19" s="7"/>
    </row>
    <row r="20" spans="1:6" ht="12.75">
      <c r="A20" s="1" t="s">
        <v>29</v>
      </c>
      <c r="C20" s="7"/>
      <c r="F20" t="s">
        <v>384</v>
      </c>
    </row>
    <row r="21" spans="1:3" ht="12.75">
      <c r="A21" s="1" t="s">
        <v>30</v>
      </c>
      <c r="B21" s="1" t="s">
        <v>31</v>
      </c>
      <c r="C21" s="7"/>
    </row>
    <row r="22" ht="12.75">
      <c r="C22" s="7"/>
    </row>
    <row r="23" spans="1:3" ht="12.75">
      <c r="A23" s="1" t="s">
        <v>32</v>
      </c>
      <c r="C23" s="71">
        <v>0.8442</v>
      </c>
    </row>
    <row r="24" spans="1:3" ht="15.75" customHeight="1">
      <c r="A24" s="72"/>
      <c r="C24" s="7"/>
    </row>
    <row r="25" spans="1:3" ht="12.75" customHeight="1">
      <c r="A25" s="10" t="s">
        <v>33</v>
      </c>
      <c r="B25" s="10"/>
      <c r="C25" s="10"/>
    </row>
    <row r="26" spans="1:4" ht="38.25">
      <c r="A26" s="11" t="s">
        <v>34</v>
      </c>
      <c r="B26" s="11" t="s">
        <v>35</v>
      </c>
      <c r="C26" s="11" t="s">
        <v>36</v>
      </c>
      <c r="D26" s="12" t="s">
        <v>37</v>
      </c>
    </row>
    <row r="27" spans="1:4" ht="12.75">
      <c r="A27" s="111" t="s">
        <v>38</v>
      </c>
      <c r="B27" s="121" t="s">
        <v>39</v>
      </c>
      <c r="C27" s="73">
        <v>102</v>
      </c>
      <c r="D27" s="122" t="s">
        <v>40</v>
      </c>
    </row>
    <row r="28" spans="1:4" ht="12.75">
      <c r="A28" s="13" t="s">
        <v>41</v>
      </c>
      <c r="B28" s="14" t="s">
        <v>39</v>
      </c>
      <c r="C28" s="73">
        <v>102</v>
      </c>
      <c r="D28" s="16" t="s">
        <v>42</v>
      </c>
    </row>
    <row r="29" spans="1:4" ht="12.75">
      <c r="A29" s="13" t="s">
        <v>43</v>
      </c>
      <c r="B29" s="14" t="s">
        <v>39</v>
      </c>
      <c r="C29" s="123">
        <v>373</v>
      </c>
      <c r="D29" s="16" t="s">
        <v>44</v>
      </c>
    </row>
    <row r="30" spans="1:4" ht="12.75">
      <c r="A30" s="13" t="s">
        <v>45</v>
      </c>
      <c r="B30" s="14" t="s">
        <v>39</v>
      </c>
      <c r="C30" s="15">
        <v>3</v>
      </c>
      <c r="D30" s="16" t="s">
        <v>46</v>
      </c>
    </row>
    <row r="31" spans="1:4" ht="12.75">
      <c r="A31" s="13" t="s">
        <v>47</v>
      </c>
      <c r="B31" s="17" t="s">
        <v>39</v>
      </c>
      <c r="C31" s="15">
        <v>9</v>
      </c>
      <c r="D31" s="16" t="s">
        <v>48</v>
      </c>
    </row>
    <row r="32" spans="1:4" ht="12.75">
      <c r="A32" s="13" t="s">
        <v>49</v>
      </c>
      <c r="B32" s="17" t="s">
        <v>50</v>
      </c>
      <c r="C32" s="73">
        <v>102</v>
      </c>
      <c r="D32" s="16" t="s">
        <v>51</v>
      </c>
    </row>
    <row r="33" spans="1:4" ht="12.75">
      <c r="A33" s="13" t="s">
        <v>52</v>
      </c>
      <c r="B33" s="17" t="s">
        <v>39</v>
      </c>
      <c r="C33" s="15">
        <v>153</v>
      </c>
      <c r="D33" s="16" t="s">
        <v>53</v>
      </c>
    </row>
    <row r="34" spans="1:4" ht="12.75">
      <c r="A34" s="13" t="s">
        <v>54</v>
      </c>
      <c r="B34" s="17" t="s">
        <v>39</v>
      </c>
      <c r="C34" s="15"/>
      <c r="D34" s="16" t="s">
        <v>233</v>
      </c>
    </row>
    <row r="35" spans="1:4" ht="12.75">
      <c r="A35" s="13" t="s">
        <v>56</v>
      </c>
      <c r="B35" s="17" t="s">
        <v>39</v>
      </c>
      <c r="C35" s="15"/>
      <c r="D35" s="16" t="s">
        <v>233</v>
      </c>
    </row>
    <row r="36" spans="1:4" ht="12.75">
      <c r="A36" s="13" t="s">
        <v>59</v>
      </c>
      <c r="B36" s="17" t="s">
        <v>39</v>
      </c>
      <c r="C36" s="15"/>
      <c r="D36" s="16" t="s">
        <v>233</v>
      </c>
    </row>
    <row r="37" spans="1:4" ht="12.75">
      <c r="A37" s="13" t="s">
        <v>61</v>
      </c>
      <c r="B37" s="17" t="s">
        <v>39</v>
      </c>
      <c r="C37" s="15">
        <f>548+548</f>
        <v>1096</v>
      </c>
      <c r="D37" s="16" t="s">
        <v>46</v>
      </c>
    </row>
    <row r="38" spans="1:4" ht="12.75">
      <c r="A38" s="13" t="s">
        <v>62</v>
      </c>
      <c r="B38" s="17" t="s">
        <v>39</v>
      </c>
      <c r="C38" s="73">
        <v>102</v>
      </c>
      <c r="D38" s="124" t="s">
        <v>53</v>
      </c>
    </row>
    <row r="39" spans="1:4" ht="12.75">
      <c r="A39" s="13" t="s">
        <v>63</v>
      </c>
      <c r="B39" s="17" t="s">
        <v>39</v>
      </c>
      <c r="C39" s="15"/>
      <c r="D39" s="16" t="s">
        <v>233</v>
      </c>
    </row>
    <row r="40" spans="1:4" ht="12.75">
      <c r="A40" s="13" t="s">
        <v>64</v>
      </c>
      <c r="B40" s="17" t="s">
        <v>39</v>
      </c>
      <c r="C40" s="15"/>
      <c r="D40" s="16" t="s">
        <v>233</v>
      </c>
    </row>
    <row r="41" spans="1:4" ht="12.75">
      <c r="A41" s="13" t="s">
        <v>65</v>
      </c>
      <c r="B41" s="17" t="s">
        <v>39</v>
      </c>
      <c r="C41" s="15"/>
      <c r="D41" s="16" t="s">
        <v>233</v>
      </c>
    </row>
    <row r="42" spans="1:4" ht="12.75">
      <c r="A42" s="13" t="s">
        <v>66</v>
      </c>
      <c r="B42" s="17" t="s">
        <v>67</v>
      </c>
      <c r="C42" s="15"/>
      <c r="D42" s="16" t="s">
        <v>233</v>
      </c>
    </row>
    <row r="43" spans="1:4" ht="25.5">
      <c r="A43" s="13" t="s">
        <v>68</v>
      </c>
      <c r="B43" s="17" t="s">
        <v>67</v>
      </c>
      <c r="C43" s="15"/>
      <c r="D43" s="16" t="s">
        <v>233</v>
      </c>
    </row>
    <row r="44" spans="1:4" ht="12.75">
      <c r="A44" s="13" t="s">
        <v>70</v>
      </c>
      <c r="B44" s="17" t="s">
        <v>39</v>
      </c>
      <c r="C44" s="15"/>
      <c r="D44" s="16" t="s">
        <v>233</v>
      </c>
    </row>
    <row r="45" spans="1:4" ht="12.75">
      <c r="A45" s="13" t="s">
        <v>72</v>
      </c>
      <c r="B45" s="17" t="s">
        <v>39</v>
      </c>
      <c r="C45" s="15"/>
      <c r="D45" s="16" t="s">
        <v>233</v>
      </c>
    </row>
    <row r="46" spans="1:4" ht="12.75">
      <c r="A46" s="13" t="s">
        <v>73</v>
      </c>
      <c r="B46" s="17" t="s">
        <v>67</v>
      </c>
      <c r="C46" s="15"/>
      <c r="D46" s="16" t="s">
        <v>233</v>
      </c>
    </row>
    <row r="47" spans="1:4" ht="12.75">
      <c r="A47" s="13" t="s">
        <v>74</v>
      </c>
      <c r="B47" s="17" t="s">
        <v>39</v>
      </c>
      <c r="C47" s="15">
        <v>548</v>
      </c>
      <c r="D47" s="16" t="s">
        <v>60</v>
      </c>
    </row>
    <row r="48" spans="1:4" ht="12.75" customHeight="1">
      <c r="A48" s="18" t="s">
        <v>75</v>
      </c>
      <c r="B48" s="18"/>
      <c r="C48" s="18"/>
      <c r="D48" s="19"/>
    </row>
    <row r="49" spans="1:4" ht="12.75" customHeight="1">
      <c r="A49" s="20" t="s">
        <v>76</v>
      </c>
      <c r="B49" s="20"/>
      <c r="C49" s="20"/>
      <c r="D49" s="21"/>
    </row>
    <row r="50" spans="1:4" ht="12.75" customHeight="1">
      <c r="A50" s="22" t="s">
        <v>77</v>
      </c>
      <c r="B50" s="22"/>
      <c r="C50" s="22"/>
      <c r="D50" s="23"/>
    </row>
    <row r="51" spans="1:4" ht="25.5" customHeight="1">
      <c r="A51" s="13" t="s">
        <v>78</v>
      </c>
      <c r="B51" s="24" t="s">
        <v>79</v>
      </c>
      <c r="C51" s="24"/>
      <c r="D51" s="13" t="s">
        <v>80</v>
      </c>
    </row>
    <row r="52" spans="1:4" ht="25.5" customHeight="1">
      <c r="A52" s="13" t="s">
        <v>81</v>
      </c>
      <c r="B52" s="24" t="s">
        <v>79</v>
      </c>
      <c r="C52" s="24"/>
      <c r="D52" s="13" t="s">
        <v>80</v>
      </c>
    </row>
    <row r="53" spans="1:4" ht="25.5" customHeight="1">
      <c r="A53" s="13" t="s">
        <v>82</v>
      </c>
      <c r="B53" s="24" t="s">
        <v>79</v>
      </c>
      <c r="C53" s="24"/>
      <c r="D53" s="13" t="s">
        <v>83</v>
      </c>
    </row>
    <row r="54" spans="1:4" ht="25.5" customHeight="1">
      <c r="A54" s="13" t="s">
        <v>84</v>
      </c>
      <c r="B54" s="24" t="s">
        <v>79</v>
      </c>
      <c r="C54" s="24"/>
      <c r="D54" s="13" t="s">
        <v>83</v>
      </c>
    </row>
    <row r="55" spans="1:4" ht="24.75" customHeight="1">
      <c r="A55" s="13" t="s">
        <v>85</v>
      </c>
      <c r="B55" s="24" t="s">
        <v>79</v>
      </c>
      <c r="C55" s="24"/>
      <c r="D55" s="13" t="s">
        <v>86</v>
      </c>
    </row>
    <row r="56" spans="1:4" ht="27.75" customHeight="1">
      <c r="A56" s="13" t="s">
        <v>87</v>
      </c>
      <c r="B56" s="24" t="s">
        <v>79</v>
      </c>
      <c r="C56" s="24"/>
      <c r="D56" s="13" t="s">
        <v>88</v>
      </c>
    </row>
    <row r="57" spans="1:4" ht="25.5" customHeight="1">
      <c r="A57" s="13" t="s">
        <v>89</v>
      </c>
      <c r="B57" s="24" t="s">
        <v>79</v>
      </c>
      <c r="C57" s="24"/>
      <c r="D57" s="13" t="s">
        <v>40</v>
      </c>
    </row>
    <row r="58" spans="1:4" ht="25.5" customHeight="1">
      <c r="A58" s="13" t="s">
        <v>90</v>
      </c>
      <c r="B58" s="24" t="s">
        <v>79</v>
      </c>
      <c r="C58" s="24"/>
      <c r="D58" s="13" t="s">
        <v>88</v>
      </c>
    </row>
    <row r="59" spans="1:4" ht="25.5" customHeight="1">
      <c r="A59" s="13" t="s">
        <v>91</v>
      </c>
      <c r="B59" s="24" t="s">
        <v>79</v>
      </c>
      <c r="C59" s="24"/>
      <c r="D59" s="13" t="s">
        <v>92</v>
      </c>
    </row>
    <row r="60" spans="1:4" ht="24" customHeight="1">
      <c r="A60" s="13" t="s">
        <v>93</v>
      </c>
      <c r="B60" s="24" t="s">
        <v>79</v>
      </c>
      <c r="C60" s="24"/>
      <c r="D60" s="86" t="s">
        <v>94</v>
      </c>
    </row>
    <row r="61" spans="1:4" ht="12.75" customHeight="1">
      <c r="A61" s="28" t="s">
        <v>95</v>
      </c>
      <c r="B61" s="28"/>
      <c r="C61" s="29"/>
      <c r="D61" s="30"/>
    </row>
    <row r="62" spans="1:4" ht="27.75" customHeight="1">
      <c r="A62" s="13" t="s">
        <v>96</v>
      </c>
      <c r="B62" s="24" t="s">
        <v>79</v>
      </c>
      <c r="C62" s="24"/>
      <c r="D62" s="13" t="s">
        <v>88</v>
      </c>
    </row>
    <row r="63" spans="1:4" ht="25.5" customHeight="1">
      <c r="A63" s="13" t="s">
        <v>97</v>
      </c>
      <c r="B63" s="24" t="s">
        <v>79</v>
      </c>
      <c r="C63" s="24"/>
      <c r="D63" s="13" t="s">
        <v>98</v>
      </c>
    </row>
    <row r="64" spans="1:4" ht="25.5" customHeight="1">
      <c r="A64" s="13" t="s">
        <v>99</v>
      </c>
      <c r="B64" s="24" t="s">
        <v>79</v>
      </c>
      <c r="C64" s="24"/>
      <c r="D64" s="13" t="s">
        <v>100</v>
      </c>
    </row>
    <row r="65" spans="1:4" ht="27.75" customHeight="1">
      <c r="A65" s="13" t="s">
        <v>101</v>
      </c>
      <c r="B65" s="24" t="s">
        <v>79</v>
      </c>
      <c r="C65" s="24"/>
      <c r="D65" s="13" t="s">
        <v>88</v>
      </c>
    </row>
    <row r="66" spans="1:4" ht="26.25" customHeight="1">
      <c r="A66" s="13" t="s">
        <v>102</v>
      </c>
      <c r="B66" s="24" t="s">
        <v>79</v>
      </c>
      <c r="C66" s="24"/>
      <c r="D66" s="13" t="s">
        <v>60</v>
      </c>
    </row>
    <row r="67" spans="1:4" ht="30" customHeight="1">
      <c r="A67" s="13" t="s">
        <v>103</v>
      </c>
      <c r="B67" s="24" t="s">
        <v>79</v>
      </c>
      <c r="C67" s="24"/>
      <c r="D67" s="13" t="s">
        <v>104</v>
      </c>
    </row>
    <row r="68" spans="1:4" ht="25.5" customHeight="1">
      <c r="A68" s="13" t="s">
        <v>105</v>
      </c>
      <c r="B68" s="24" t="s">
        <v>79</v>
      </c>
      <c r="C68" s="24"/>
      <c r="D68" s="13" t="s">
        <v>106</v>
      </c>
    </row>
    <row r="69" spans="1:4" ht="12.75" customHeight="1">
      <c r="A69" s="13" t="s">
        <v>107</v>
      </c>
      <c r="B69" s="24" t="s">
        <v>79</v>
      </c>
      <c r="C69" s="24"/>
      <c r="D69" s="13" t="s">
        <v>108</v>
      </c>
    </row>
    <row r="70" spans="1:4" ht="24.75" customHeight="1">
      <c r="A70" s="13" t="s">
        <v>89</v>
      </c>
      <c r="B70" s="24" t="s">
        <v>79</v>
      </c>
      <c r="C70" s="24"/>
      <c r="D70" s="13" t="s">
        <v>40</v>
      </c>
    </row>
    <row r="71" spans="1:4" ht="12.75" customHeight="1">
      <c r="A71" s="13" t="s">
        <v>109</v>
      </c>
      <c r="B71" s="24" t="s">
        <v>79</v>
      </c>
      <c r="C71" s="24"/>
      <c r="D71" s="13" t="s">
        <v>108</v>
      </c>
    </row>
    <row r="72" spans="1:4" ht="14.25" customHeight="1">
      <c r="A72" s="28" t="s">
        <v>110</v>
      </c>
      <c r="B72" s="28"/>
      <c r="C72" s="31"/>
      <c r="D72" s="30"/>
    </row>
    <row r="73" spans="1:4" ht="27.75" customHeight="1">
      <c r="A73" s="13" t="s">
        <v>111</v>
      </c>
      <c r="B73" s="14" t="s">
        <v>112</v>
      </c>
      <c r="C73" s="15">
        <f>83*1.15*12</f>
        <v>1145.3999999999999</v>
      </c>
      <c r="D73" s="74" t="s">
        <v>69</v>
      </c>
    </row>
    <row r="74" spans="1:4" ht="18" customHeight="1">
      <c r="A74" s="13" t="s">
        <v>113</v>
      </c>
      <c r="B74" s="33" t="s">
        <v>112</v>
      </c>
      <c r="C74" s="15">
        <f>0.75*2*2*51</f>
        <v>153</v>
      </c>
      <c r="D74" s="74" t="s">
        <v>114</v>
      </c>
    </row>
    <row r="75" spans="1:4" ht="14.25" customHeight="1">
      <c r="A75" s="13" t="s">
        <v>115</v>
      </c>
      <c r="B75" s="14" t="s">
        <v>67</v>
      </c>
      <c r="C75" s="15">
        <v>5</v>
      </c>
      <c r="D75" s="125" t="s">
        <v>116</v>
      </c>
    </row>
    <row r="76" spans="1:4" ht="12.75" customHeight="1">
      <c r="A76" s="28" t="s">
        <v>117</v>
      </c>
      <c r="B76" s="28"/>
      <c r="C76" s="29"/>
      <c r="D76" s="30"/>
    </row>
    <row r="77" spans="1:4" ht="12.75">
      <c r="A77" s="35" t="s">
        <v>118</v>
      </c>
      <c r="B77" s="36"/>
      <c r="C77" s="37"/>
      <c r="D77" s="37"/>
    </row>
    <row r="78" spans="1:4" ht="12.75">
      <c r="A78" s="39" t="s">
        <v>121</v>
      </c>
      <c r="B78" s="40" t="s">
        <v>122</v>
      </c>
      <c r="C78" s="40">
        <f>1+1</f>
        <v>2</v>
      </c>
      <c r="D78" s="81"/>
    </row>
    <row r="79" spans="1:4" ht="12.75">
      <c r="A79" s="39" t="s">
        <v>385</v>
      </c>
      <c r="B79" s="40" t="s">
        <v>67</v>
      </c>
      <c r="C79" s="40">
        <v>8</v>
      </c>
      <c r="D79" s="81"/>
    </row>
    <row r="80" spans="1:4" ht="12.75">
      <c r="A80" s="35" t="s">
        <v>235</v>
      </c>
      <c r="B80" s="36"/>
      <c r="C80" s="36"/>
      <c r="D80" s="115"/>
    </row>
    <row r="81" spans="1:4" ht="12.75">
      <c r="A81" s="88" t="s">
        <v>386</v>
      </c>
      <c r="B81" s="40" t="s">
        <v>39</v>
      </c>
      <c r="C81" s="40">
        <f>0.4</f>
        <v>0.4</v>
      </c>
      <c r="D81" s="81"/>
    </row>
    <row r="82" spans="1:4" ht="12.75">
      <c r="A82" s="35" t="s">
        <v>126</v>
      </c>
      <c r="B82" s="36"/>
      <c r="C82" s="36"/>
      <c r="D82" s="115"/>
    </row>
    <row r="83" spans="1:4" ht="12.75">
      <c r="A83" s="43" t="s">
        <v>129</v>
      </c>
      <c r="B83" s="40" t="s">
        <v>67</v>
      </c>
      <c r="C83" s="41">
        <f>4+1</f>
        <v>5</v>
      </c>
      <c r="D83" s="81"/>
    </row>
    <row r="84" spans="1:4" s="1" customFormat="1" ht="12.75">
      <c r="A84" s="43" t="s">
        <v>131</v>
      </c>
      <c r="B84" s="40" t="s">
        <v>67</v>
      </c>
      <c r="C84" s="41">
        <v>2</v>
      </c>
      <c r="D84" s="47" t="s">
        <v>186</v>
      </c>
    </row>
    <row r="85" spans="1:4" ht="12.75">
      <c r="A85" s="43" t="s">
        <v>134</v>
      </c>
      <c r="B85" s="40" t="s">
        <v>39</v>
      </c>
      <c r="C85" s="41">
        <v>2</v>
      </c>
      <c r="D85" s="81"/>
    </row>
    <row r="86" spans="1:4" ht="12.75">
      <c r="A86" s="43" t="s">
        <v>387</v>
      </c>
      <c r="B86" s="40" t="s">
        <v>67</v>
      </c>
      <c r="C86" s="41">
        <v>4</v>
      </c>
      <c r="D86" s="81"/>
    </row>
    <row r="87" spans="1:4" ht="12.75">
      <c r="A87" s="49" t="s">
        <v>145</v>
      </c>
      <c r="B87" s="36"/>
      <c r="C87" s="36"/>
      <c r="D87" s="115"/>
    </row>
    <row r="88" spans="1:4" ht="12.75">
      <c r="A88" s="52" t="s">
        <v>309</v>
      </c>
      <c r="B88" s="40" t="s">
        <v>39</v>
      </c>
      <c r="C88" s="40">
        <f>1</f>
        <v>1</v>
      </c>
      <c r="D88" s="81"/>
    </row>
    <row r="89" spans="1:4" ht="12.75">
      <c r="A89" s="52" t="s">
        <v>147</v>
      </c>
      <c r="B89" s="40" t="s">
        <v>67</v>
      </c>
      <c r="C89" s="40">
        <v>2</v>
      </c>
      <c r="D89" s="81"/>
    </row>
    <row r="90" spans="1:4" ht="12.75">
      <c r="A90" s="52" t="s">
        <v>149</v>
      </c>
      <c r="B90" s="40" t="s">
        <v>67</v>
      </c>
      <c r="C90" s="40">
        <v>3</v>
      </c>
      <c r="D90" s="81"/>
    </row>
    <row r="91" spans="1:4" ht="12.75">
      <c r="A91" s="52" t="s">
        <v>151</v>
      </c>
      <c r="B91" s="41" t="s">
        <v>39</v>
      </c>
      <c r="C91" s="40">
        <v>180</v>
      </c>
      <c r="D91" s="81"/>
    </row>
    <row r="92" spans="1:4" ht="12.75">
      <c r="A92" s="52" t="s">
        <v>154</v>
      </c>
      <c r="B92" s="41" t="s">
        <v>67</v>
      </c>
      <c r="C92" s="40">
        <v>2</v>
      </c>
      <c r="D92" s="81"/>
    </row>
    <row r="93" spans="1:4" ht="12.75">
      <c r="A93" s="49" t="s">
        <v>157</v>
      </c>
      <c r="B93" s="36"/>
      <c r="C93" s="36"/>
      <c r="D93" s="115"/>
    </row>
    <row r="94" spans="1:4" ht="12.75">
      <c r="A94" s="51" t="s">
        <v>158</v>
      </c>
      <c r="B94" s="40" t="s">
        <v>67</v>
      </c>
      <c r="C94" s="40">
        <v>9</v>
      </c>
      <c r="D94" s="81"/>
    </row>
    <row r="95" spans="1:4" s="1" customFormat="1" ht="12.75">
      <c r="A95" s="80" t="s">
        <v>202</v>
      </c>
      <c r="B95" s="41" t="s">
        <v>39</v>
      </c>
      <c r="C95" s="41">
        <v>371</v>
      </c>
      <c r="D95" s="44"/>
    </row>
    <row r="96" spans="1:4" s="1" customFormat="1" ht="12.75">
      <c r="A96" s="126" t="s">
        <v>388</v>
      </c>
      <c r="B96" s="41" t="s">
        <v>39</v>
      </c>
      <c r="C96" s="41">
        <v>1800</v>
      </c>
      <c r="D96" s="44"/>
    </row>
    <row r="97" spans="1:4" ht="17.25" customHeight="1">
      <c r="A97" s="49" t="s">
        <v>161</v>
      </c>
      <c r="B97" s="36"/>
      <c r="C97" s="116"/>
      <c r="D97" s="45"/>
    </row>
    <row r="98" spans="1:4" ht="12.75">
      <c r="A98" s="54" t="s">
        <v>162</v>
      </c>
      <c r="B98" s="56" t="s">
        <v>39</v>
      </c>
      <c r="C98" s="56">
        <v>548.4</v>
      </c>
      <c r="D98" s="68" t="s">
        <v>44</v>
      </c>
    </row>
    <row r="99" spans="1:4" ht="12.75">
      <c r="A99" s="54" t="s">
        <v>163</v>
      </c>
      <c r="B99" s="56" t="s">
        <v>39</v>
      </c>
      <c r="C99" s="56">
        <v>548.4</v>
      </c>
      <c r="D99" s="89" t="s">
        <v>164</v>
      </c>
    </row>
    <row r="100" spans="1:4" ht="12.75">
      <c r="A100" s="49" t="s">
        <v>165</v>
      </c>
      <c r="B100" s="37"/>
      <c r="C100" s="60"/>
      <c r="D100" s="62"/>
    </row>
    <row r="101" spans="1:4" ht="12.75">
      <c r="A101" s="54" t="s">
        <v>162</v>
      </c>
      <c r="B101" s="56" t="s">
        <v>39</v>
      </c>
      <c r="C101" s="56">
        <v>548.4</v>
      </c>
      <c r="D101" s="68" t="s">
        <v>44</v>
      </c>
    </row>
    <row r="102" spans="1:4" ht="12.75">
      <c r="A102" s="54" t="s">
        <v>163</v>
      </c>
      <c r="B102" s="56" t="s">
        <v>39</v>
      </c>
      <c r="C102" s="56">
        <v>548.4</v>
      </c>
      <c r="D102" s="89" t="s">
        <v>164</v>
      </c>
    </row>
    <row r="103" spans="1:4" ht="14.25" customHeight="1">
      <c r="A103" s="49" t="s">
        <v>166</v>
      </c>
      <c r="B103" s="37"/>
      <c r="C103" s="60"/>
      <c r="D103" s="62"/>
    </row>
    <row r="104" spans="1:4" ht="12.75">
      <c r="A104" s="54" t="s">
        <v>162</v>
      </c>
      <c r="B104" s="56" t="s">
        <v>39</v>
      </c>
      <c r="C104" s="56">
        <f>548.4+107.6+90</f>
        <v>746</v>
      </c>
      <c r="D104" s="47" t="s">
        <v>175</v>
      </c>
    </row>
    <row r="105" spans="1:4" ht="12.75">
      <c r="A105" s="54" t="s">
        <v>163</v>
      </c>
      <c r="B105" s="56" t="s">
        <v>39</v>
      </c>
      <c r="C105" s="56">
        <f>548.4+107.6+90</f>
        <v>746</v>
      </c>
      <c r="D105" s="89" t="s">
        <v>164</v>
      </c>
    </row>
    <row r="107" ht="12.75">
      <c r="A107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5:C25"/>
    <mergeCell ref="A48:C48"/>
    <mergeCell ref="A49:C49"/>
    <mergeCell ref="A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B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72:B72"/>
    <mergeCell ref="A76:B76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1:D114"/>
  <sheetViews>
    <sheetView workbookViewId="0" topLeftCell="A79">
      <selection activeCell="A115" sqref="A115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389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127" t="s">
        <v>390</v>
      </c>
    </row>
    <row r="8" spans="1:3" ht="12.75">
      <c r="A8" s="1" t="s">
        <v>7</v>
      </c>
      <c r="C8" s="127" t="s">
        <v>391</v>
      </c>
    </row>
    <row r="9" spans="1:3" ht="12.75">
      <c r="A9" s="1" t="s">
        <v>9</v>
      </c>
      <c r="C9" s="128"/>
    </row>
    <row r="10" ht="12.75">
      <c r="C10" s="7"/>
    </row>
    <row r="11" spans="1:3" ht="12.75">
      <c r="A11" s="1" t="s">
        <v>11</v>
      </c>
      <c r="C11" s="7" t="s">
        <v>392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25</v>
      </c>
      <c r="B17" s="1" t="s">
        <v>26</v>
      </c>
      <c r="C17" s="7"/>
    </row>
    <row r="18" spans="1:3" ht="12.75">
      <c r="A18" s="1" t="s">
        <v>27</v>
      </c>
      <c r="B18" s="1" t="s">
        <v>28</v>
      </c>
      <c r="C18" s="7"/>
    </row>
    <row r="19" spans="1:3" ht="12.75">
      <c r="A19" s="1" t="s">
        <v>29</v>
      </c>
      <c r="C19" s="7"/>
    </row>
    <row r="20" spans="1:3" ht="12.75">
      <c r="A20" s="1" t="s">
        <v>30</v>
      </c>
      <c r="B20" s="1" t="s">
        <v>31</v>
      </c>
      <c r="C20" s="7"/>
    </row>
    <row r="21" ht="12.75">
      <c r="C21" s="83"/>
    </row>
    <row r="22" spans="1:3" ht="12.75">
      <c r="A22" s="1" t="s">
        <v>32</v>
      </c>
      <c r="C22" s="71">
        <v>0.6477</v>
      </c>
    </row>
    <row r="23" spans="1:3" ht="12.75">
      <c r="A23" s="72"/>
      <c r="C23" s="7"/>
    </row>
    <row r="24" spans="1:3" ht="12.75" customHeight="1">
      <c r="A24" s="10" t="s">
        <v>33</v>
      </c>
      <c r="B24" s="10"/>
      <c r="C24" s="10"/>
    </row>
    <row r="26" spans="1:4" ht="38.25">
      <c r="A26" s="11" t="s">
        <v>34</v>
      </c>
      <c r="B26" s="11" t="s">
        <v>35</v>
      </c>
      <c r="C26" s="11" t="s">
        <v>36</v>
      </c>
      <c r="D26" s="12" t="s">
        <v>37</v>
      </c>
    </row>
    <row r="27" spans="1:4" ht="25.5">
      <c r="A27" s="13" t="s">
        <v>38</v>
      </c>
      <c r="B27" s="14" t="s">
        <v>39</v>
      </c>
      <c r="C27" s="15">
        <v>165.5</v>
      </c>
      <c r="D27" s="16" t="s">
        <v>40</v>
      </c>
    </row>
    <row r="28" spans="1:4" ht="12.75">
      <c r="A28" s="13" t="s">
        <v>41</v>
      </c>
      <c r="B28" s="14" t="s">
        <v>39</v>
      </c>
      <c r="C28" s="15">
        <v>165.5</v>
      </c>
      <c r="D28" s="16" t="s">
        <v>42</v>
      </c>
    </row>
    <row r="29" spans="1:4" ht="51">
      <c r="A29" s="13" t="s">
        <v>43</v>
      </c>
      <c r="B29" s="14" t="s">
        <v>39</v>
      </c>
      <c r="C29" s="123">
        <v>739</v>
      </c>
      <c r="D29" s="16" t="s">
        <v>44</v>
      </c>
    </row>
    <row r="30" spans="1:4" ht="12.75">
      <c r="A30" s="13" t="s">
        <v>45</v>
      </c>
      <c r="B30" s="14" t="s">
        <v>39</v>
      </c>
      <c r="C30" s="15">
        <v>1</v>
      </c>
      <c r="D30" s="16" t="s">
        <v>46</v>
      </c>
    </row>
    <row r="31" spans="1:4" ht="25.5">
      <c r="A31" s="13" t="s">
        <v>47</v>
      </c>
      <c r="B31" s="17" t="s">
        <v>39</v>
      </c>
      <c r="C31" s="15">
        <v>1.8</v>
      </c>
      <c r="D31" s="16" t="s">
        <v>48</v>
      </c>
    </row>
    <row r="32" spans="1:4" ht="25.5">
      <c r="A32" s="13" t="s">
        <v>49</v>
      </c>
      <c r="B32" s="17" t="s">
        <v>50</v>
      </c>
      <c r="C32" s="73">
        <v>165.5</v>
      </c>
      <c r="D32" s="16" t="s">
        <v>51</v>
      </c>
    </row>
    <row r="33" spans="1:4" ht="25.5">
      <c r="A33" s="13" t="s">
        <v>52</v>
      </c>
      <c r="B33" s="17" t="s">
        <v>39</v>
      </c>
      <c r="C33" s="15">
        <v>248.25</v>
      </c>
      <c r="D33" s="16" t="s">
        <v>53</v>
      </c>
    </row>
    <row r="34" spans="1:4" ht="12.75">
      <c r="A34" s="13" t="s">
        <v>54</v>
      </c>
      <c r="B34" s="17" t="s">
        <v>39</v>
      </c>
      <c r="C34" s="15"/>
      <c r="D34" s="16" t="s">
        <v>233</v>
      </c>
    </row>
    <row r="35" spans="1:4" ht="12.75">
      <c r="A35" s="13" t="s">
        <v>56</v>
      </c>
      <c r="B35" s="17" t="s">
        <v>39</v>
      </c>
      <c r="C35" s="15"/>
      <c r="D35" s="16" t="s">
        <v>233</v>
      </c>
    </row>
    <row r="36" spans="1:4" ht="25.5">
      <c r="A36" s="13" t="s">
        <v>59</v>
      </c>
      <c r="B36" s="17" t="s">
        <v>39</v>
      </c>
      <c r="C36" s="15"/>
      <c r="D36" s="16" t="s">
        <v>233</v>
      </c>
    </row>
    <row r="37" spans="1:4" ht="12.75">
      <c r="A37" s="13" t="s">
        <v>61</v>
      </c>
      <c r="B37" s="17" t="s">
        <v>39</v>
      </c>
      <c r="C37" s="15">
        <v>815</v>
      </c>
      <c r="D37" s="16" t="s">
        <v>46</v>
      </c>
    </row>
    <row r="38" spans="1:4" ht="25.5">
      <c r="A38" s="13" t="s">
        <v>62</v>
      </c>
      <c r="B38" s="17" t="s">
        <v>39</v>
      </c>
      <c r="C38" s="73">
        <v>165.5</v>
      </c>
      <c r="D38" s="16" t="s">
        <v>53</v>
      </c>
    </row>
    <row r="39" spans="1:4" ht="12.75">
      <c r="A39" s="13" t="s">
        <v>63</v>
      </c>
      <c r="B39" s="17" t="s">
        <v>39</v>
      </c>
      <c r="C39" s="15"/>
      <c r="D39" s="16" t="s">
        <v>233</v>
      </c>
    </row>
    <row r="40" spans="1:4" ht="12.75">
      <c r="A40" s="13" t="s">
        <v>64</v>
      </c>
      <c r="B40" s="17" t="s">
        <v>39</v>
      </c>
      <c r="C40" s="15"/>
      <c r="D40" s="16" t="s">
        <v>233</v>
      </c>
    </row>
    <row r="41" spans="1:4" ht="12.75">
      <c r="A41" s="13" t="s">
        <v>65</v>
      </c>
      <c r="B41" s="17" t="s">
        <v>39</v>
      </c>
      <c r="C41" s="15"/>
      <c r="D41" s="16" t="s">
        <v>233</v>
      </c>
    </row>
    <row r="42" spans="1:4" ht="12.75">
      <c r="A42" s="13" t="s">
        <v>66</v>
      </c>
      <c r="B42" s="17" t="s">
        <v>67</v>
      </c>
      <c r="C42" s="15"/>
      <c r="D42" s="16" t="s">
        <v>233</v>
      </c>
    </row>
    <row r="43" spans="1:4" ht="25.5">
      <c r="A43" s="13" t="s">
        <v>68</v>
      </c>
      <c r="B43" s="17" t="s">
        <v>67</v>
      </c>
      <c r="C43" s="15"/>
      <c r="D43" s="16" t="s">
        <v>233</v>
      </c>
    </row>
    <row r="44" spans="1:4" ht="12.75">
      <c r="A44" s="13" t="s">
        <v>70</v>
      </c>
      <c r="B44" s="17" t="s">
        <v>39</v>
      </c>
      <c r="C44" s="15"/>
      <c r="D44" s="16" t="s">
        <v>233</v>
      </c>
    </row>
    <row r="45" spans="1:4" ht="12.75">
      <c r="A45" s="13" t="s">
        <v>72</v>
      </c>
      <c r="B45" s="17" t="s">
        <v>39</v>
      </c>
      <c r="C45" s="15"/>
      <c r="D45" s="16" t="s">
        <v>233</v>
      </c>
    </row>
    <row r="46" spans="1:4" ht="25.5">
      <c r="A46" s="13" t="s">
        <v>73</v>
      </c>
      <c r="B46" s="17" t="s">
        <v>67</v>
      </c>
      <c r="C46" s="15"/>
      <c r="D46" s="16" t="s">
        <v>233</v>
      </c>
    </row>
    <row r="47" spans="1:4" ht="12.75">
      <c r="A47" s="13" t="s">
        <v>74</v>
      </c>
      <c r="B47" s="17" t="s">
        <v>39</v>
      </c>
      <c r="C47" s="15">
        <v>359</v>
      </c>
      <c r="D47" s="16" t="s">
        <v>60</v>
      </c>
    </row>
    <row r="48" spans="1:4" ht="12.75" customHeight="1">
      <c r="A48" s="18" t="s">
        <v>75</v>
      </c>
      <c r="B48" s="18"/>
      <c r="C48" s="18"/>
      <c r="D48" s="19"/>
    </row>
    <row r="49" spans="1:4" ht="12.75" customHeight="1">
      <c r="A49" s="20" t="s">
        <v>76</v>
      </c>
      <c r="B49" s="20"/>
      <c r="C49" s="20"/>
      <c r="D49" s="21"/>
    </row>
    <row r="50" spans="1:4" ht="12.75" customHeight="1">
      <c r="A50" s="22" t="s">
        <v>77</v>
      </c>
      <c r="B50" s="22"/>
      <c r="C50" s="22"/>
      <c r="D50" s="23"/>
    </row>
    <row r="51" spans="1:4" ht="25.5" customHeight="1">
      <c r="A51" s="13" t="s">
        <v>78</v>
      </c>
      <c r="B51" s="24" t="s">
        <v>79</v>
      </c>
      <c r="C51" s="24"/>
      <c r="D51" s="13" t="s">
        <v>80</v>
      </c>
    </row>
    <row r="52" spans="1:4" ht="25.5" customHeight="1">
      <c r="A52" s="13" t="s">
        <v>81</v>
      </c>
      <c r="B52" s="24" t="s">
        <v>79</v>
      </c>
      <c r="C52" s="24"/>
      <c r="D52" s="13" t="s">
        <v>80</v>
      </c>
    </row>
    <row r="53" spans="1:4" ht="25.5" customHeight="1">
      <c r="A53" s="13" t="s">
        <v>82</v>
      </c>
      <c r="B53" s="24" t="s">
        <v>79</v>
      </c>
      <c r="C53" s="24"/>
      <c r="D53" s="13" t="s">
        <v>83</v>
      </c>
    </row>
    <row r="54" spans="1:4" ht="25.5" customHeight="1">
      <c r="A54" s="13" t="s">
        <v>84</v>
      </c>
      <c r="B54" s="24" t="s">
        <v>79</v>
      </c>
      <c r="C54" s="24"/>
      <c r="D54" s="13" t="s">
        <v>83</v>
      </c>
    </row>
    <row r="55" spans="1:4" ht="25.5" customHeight="1">
      <c r="A55" s="13" t="s">
        <v>85</v>
      </c>
      <c r="B55" s="24" t="s">
        <v>79</v>
      </c>
      <c r="C55" s="24"/>
      <c r="D55" s="13" t="s">
        <v>86</v>
      </c>
    </row>
    <row r="56" spans="1:4" ht="27" customHeight="1">
      <c r="A56" s="13" t="s">
        <v>87</v>
      </c>
      <c r="B56" s="24" t="s">
        <v>79</v>
      </c>
      <c r="C56" s="24"/>
      <c r="D56" s="13" t="s">
        <v>88</v>
      </c>
    </row>
    <row r="57" spans="1:4" ht="25.5" customHeight="1">
      <c r="A57" s="13" t="s">
        <v>89</v>
      </c>
      <c r="B57" s="24" t="s">
        <v>79</v>
      </c>
      <c r="C57" s="24"/>
      <c r="D57" s="13" t="s">
        <v>40</v>
      </c>
    </row>
    <row r="58" spans="1:4" ht="25.5" customHeight="1">
      <c r="A58" s="13" t="s">
        <v>90</v>
      </c>
      <c r="B58" s="24" t="s">
        <v>79</v>
      </c>
      <c r="C58" s="24"/>
      <c r="D58" s="13" t="s">
        <v>88</v>
      </c>
    </row>
    <row r="59" spans="1:4" ht="25.5" customHeight="1">
      <c r="A59" s="13" t="s">
        <v>91</v>
      </c>
      <c r="B59" s="24" t="s">
        <v>79</v>
      </c>
      <c r="C59" s="24"/>
      <c r="D59" s="13" t="s">
        <v>92</v>
      </c>
    </row>
    <row r="60" spans="1:4" ht="24.75" customHeight="1">
      <c r="A60" s="13" t="s">
        <v>93</v>
      </c>
      <c r="B60" s="24" t="s">
        <v>79</v>
      </c>
      <c r="C60" s="24"/>
      <c r="D60" s="86" t="s">
        <v>94</v>
      </c>
    </row>
    <row r="61" spans="1:4" ht="12.75" customHeight="1">
      <c r="A61" s="28" t="s">
        <v>95</v>
      </c>
      <c r="B61" s="28"/>
      <c r="C61" s="29"/>
      <c r="D61" s="30"/>
    </row>
    <row r="62" spans="1:4" ht="27.75" customHeight="1">
      <c r="A62" s="13" t="s">
        <v>96</v>
      </c>
      <c r="B62" s="24" t="s">
        <v>79</v>
      </c>
      <c r="C62" s="24"/>
      <c r="D62" s="13" t="s">
        <v>88</v>
      </c>
    </row>
    <row r="63" spans="1:4" ht="25.5" customHeight="1">
      <c r="A63" s="13" t="s">
        <v>97</v>
      </c>
      <c r="B63" s="24" t="s">
        <v>79</v>
      </c>
      <c r="C63" s="24"/>
      <c r="D63" s="13" t="s">
        <v>98</v>
      </c>
    </row>
    <row r="64" spans="1:4" ht="25.5" customHeight="1">
      <c r="A64" s="13" t="s">
        <v>99</v>
      </c>
      <c r="B64" s="24" t="s">
        <v>79</v>
      </c>
      <c r="C64" s="24"/>
      <c r="D64" s="13" t="s">
        <v>100</v>
      </c>
    </row>
    <row r="65" spans="1:4" ht="27.75" customHeight="1">
      <c r="A65" s="13" t="s">
        <v>101</v>
      </c>
      <c r="B65" s="24" t="s">
        <v>79</v>
      </c>
      <c r="C65" s="24"/>
      <c r="D65" s="13" t="s">
        <v>88</v>
      </c>
    </row>
    <row r="66" spans="1:4" ht="26.25" customHeight="1">
      <c r="A66" s="13" t="s">
        <v>102</v>
      </c>
      <c r="B66" s="24" t="s">
        <v>79</v>
      </c>
      <c r="C66" s="24"/>
      <c r="D66" s="13" t="s">
        <v>60</v>
      </c>
    </row>
    <row r="67" spans="1:4" ht="30" customHeight="1">
      <c r="A67" s="13" t="s">
        <v>103</v>
      </c>
      <c r="B67" s="24" t="s">
        <v>79</v>
      </c>
      <c r="C67" s="24"/>
      <c r="D67" s="13" t="s">
        <v>104</v>
      </c>
    </row>
    <row r="68" spans="1:4" ht="25.5" customHeight="1">
      <c r="A68" s="13" t="s">
        <v>105</v>
      </c>
      <c r="B68" s="24" t="s">
        <v>79</v>
      </c>
      <c r="C68" s="24"/>
      <c r="D68" s="13" t="s">
        <v>106</v>
      </c>
    </row>
    <row r="69" spans="1:4" ht="25.5" customHeight="1">
      <c r="A69" s="13" t="s">
        <v>107</v>
      </c>
      <c r="B69" s="24" t="s">
        <v>79</v>
      </c>
      <c r="C69" s="24"/>
      <c r="D69" s="13" t="s">
        <v>108</v>
      </c>
    </row>
    <row r="70" spans="1:4" ht="24.75" customHeight="1">
      <c r="A70" s="13" t="s">
        <v>89</v>
      </c>
      <c r="B70" s="24" t="s">
        <v>79</v>
      </c>
      <c r="C70" s="24"/>
      <c r="D70" s="13" t="s">
        <v>40</v>
      </c>
    </row>
    <row r="71" spans="1:4" ht="25.5" customHeight="1">
      <c r="A71" s="13" t="s">
        <v>109</v>
      </c>
      <c r="B71" s="24" t="s">
        <v>79</v>
      </c>
      <c r="C71" s="24"/>
      <c r="D71" s="13" t="s">
        <v>108</v>
      </c>
    </row>
    <row r="72" spans="1:4" ht="12.75" customHeight="1">
      <c r="A72" s="28" t="s">
        <v>110</v>
      </c>
      <c r="B72" s="28"/>
      <c r="C72" s="31"/>
      <c r="D72" s="30"/>
    </row>
    <row r="73" spans="1:4" ht="27.75" customHeight="1">
      <c r="A73" s="13" t="s">
        <v>111</v>
      </c>
      <c r="B73" s="14" t="s">
        <v>112</v>
      </c>
      <c r="C73" s="15">
        <f>36*1.15*12</f>
        <v>496.79999999999995</v>
      </c>
      <c r="D73" s="74" t="s">
        <v>69</v>
      </c>
    </row>
    <row r="74" spans="1:4" ht="12.75">
      <c r="A74" s="13" t="s">
        <v>113</v>
      </c>
      <c r="B74" s="33" t="s">
        <v>112</v>
      </c>
      <c r="C74" s="15">
        <f>0.75*2*2*51</f>
        <v>153</v>
      </c>
      <c r="D74" s="74" t="s">
        <v>114</v>
      </c>
    </row>
    <row r="75" spans="1:4" ht="25.5">
      <c r="A75" s="13" t="s">
        <v>115</v>
      </c>
      <c r="B75" s="14" t="s">
        <v>67</v>
      </c>
      <c r="C75" s="15">
        <v>5</v>
      </c>
      <c r="D75" s="74" t="s">
        <v>116</v>
      </c>
    </row>
    <row r="76" spans="1:4" ht="12.75" customHeight="1">
      <c r="A76" s="18" t="s">
        <v>117</v>
      </c>
      <c r="B76" s="18"/>
      <c r="C76" s="34"/>
      <c r="D76" s="19"/>
    </row>
    <row r="77" spans="1:4" ht="12.75">
      <c r="A77" s="35" t="s">
        <v>118</v>
      </c>
      <c r="B77" s="36"/>
      <c r="C77" s="37"/>
      <c r="D77" s="38"/>
    </row>
    <row r="78" spans="1:4" ht="12.75">
      <c r="A78" s="39" t="s">
        <v>393</v>
      </c>
      <c r="B78" s="40" t="s">
        <v>39</v>
      </c>
      <c r="C78" s="41">
        <v>12</v>
      </c>
      <c r="D78" s="92"/>
    </row>
    <row r="79" spans="1:4" ht="12.75">
      <c r="A79" s="35" t="s">
        <v>235</v>
      </c>
      <c r="B79" s="36"/>
      <c r="C79" s="36"/>
      <c r="D79" s="38"/>
    </row>
    <row r="80" spans="1:4" ht="12.75">
      <c r="A80" s="88" t="s">
        <v>386</v>
      </c>
      <c r="B80" s="40" t="s">
        <v>39</v>
      </c>
      <c r="C80" s="41">
        <f>0.5</f>
        <v>0.5</v>
      </c>
      <c r="D80" s="92"/>
    </row>
    <row r="81" spans="1:4" ht="12.75">
      <c r="A81" s="88" t="s">
        <v>325</v>
      </c>
      <c r="B81" s="40" t="s">
        <v>67</v>
      </c>
      <c r="C81" s="41">
        <v>2</v>
      </c>
      <c r="D81" s="92"/>
    </row>
    <row r="82" spans="1:4" ht="12.75">
      <c r="A82" s="35" t="s">
        <v>126</v>
      </c>
      <c r="B82" s="36"/>
      <c r="C82" s="36"/>
      <c r="D82" s="38"/>
    </row>
    <row r="83" spans="1:4" ht="12.75">
      <c r="A83" s="43" t="s">
        <v>212</v>
      </c>
      <c r="B83" s="46" t="s">
        <v>67</v>
      </c>
      <c r="C83" s="41"/>
      <c r="D83" s="92"/>
    </row>
    <row r="84" spans="1:4" ht="12.75">
      <c r="A84" s="43" t="s">
        <v>129</v>
      </c>
      <c r="B84" s="40" t="s">
        <v>67</v>
      </c>
      <c r="C84" s="41">
        <f>2+2+2+2</f>
        <v>8</v>
      </c>
      <c r="D84" s="92"/>
    </row>
    <row r="85" spans="1:4" ht="12.75">
      <c r="A85" s="43" t="s">
        <v>254</v>
      </c>
      <c r="B85" s="40" t="s">
        <v>67</v>
      </c>
      <c r="C85" s="41">
        <f>1+2+2+2+2+1</f>
        <v>10</v>
      </c>
      <c r="D85" s="92"/>
    </row>
    <row r="86" spans="1:4" ht="12.75">
      <c r="A86" s="43" t="s">
        <v>134</v>
      </c>
      <c r="B86" s="40" t="s">
        <v>39</v>
      </c>
      <c r="C86" s="40">
        <f>0.6+1.5</f>
        <v>2.1</v>
      </c>
      <c r="D86" s="92"/>
    </row>
    <row r="87" spans="1:4" ht="12.75">
      <c r="A87" s="88" t="s">
        <v>267</v>
      </c>
      <c r="B87" s="40" t="s">
        <v>122</v>
      </c>
      <c r="C87" s="41">
        <f>2+1+1</f>
        <v>4</v>
      </c>
      <c r="D87" s="92"/>
    </row>
    <row r="88" spans="1:4" s="97" customFormat="1" ht="12.75">
      <c r="A88" s="43" t="s">
        <v>394</v>
      </c>
      <c r="B88" s="41" t="s">
        <v>39</v>
      </c>
      <c r="C88" s="41">
        <v>4</v>
      </c>
      <c r="D88" s="129"/>
    </row>
    <row r="89" spans="1:4" ht="12.75">
      <c r="A89" s="35" t="s">
        <v>238</v>
      </c>
      <c r="B89" s="36"/>
      <c r="C89" s="36"/>
      <c r="D89" s="38"/>
    </row>
    <row r="90" spans="1:4" ht="12.75">
      <c r="A90" s="43" t="s">
        <v>395</v>
      </c>
      <c r="B90" s="40" t="s">
        <v>39</v>
      </c>
      <c r="C90" s="41">
        <f>2+12+5.7+22</f>
        <v>41.7</v>
      </c>
      <c r="D90" s="92"/>
    </row>
    <row r="91" spans="1:4" ht="12.75">
      <c r="A91" s="35" t="s">
        <v>213</v>
      </c>
      <c r="B91" s="36"/>
      <c r="C91" s="36"/>
      <c r="D91" s="38"/>
    </row>
    <row r="92" spans="1:4" ht="12.75">
      <c r="A92" s="80" t="s">
        <v>396</v>
      </c>
      <c r="B92" s="41" t="s">
        <v>67</v>
      </c>
      <c r="C92" s="41">
        <f>1+1</f>
        <v>2</v>
      </c>
      <c r="D92" s="92"/>
    </row>
    <row r="93" spans="1:4" ht="12.75">
      <c r="A93" s="80" t="s">
        <v>397</v>
      </c>
      <c r="B93" s="41" t="s">
        <v>39</v>
      </c>
      <c r="C93" s="41">
        <f>0.3+1.2</f>
        <v>1.5</v>
      </c>
      <c r="D93" s="92"/>
    </row>
    <row r="94" spans="1:4" ht="12.75">
      <c r="A94" s="49" t="s">
        <v>141</v>
      </c>
      <c r="B94" s="36"/>
      <c r="C94" s="50"/>
      <c r="D94" s="38"/>
    </row>
    <row r="95" spans="1:4" ht="12.75">
      <c r="A95" s="51" t="s">
        <v>398</v>
      </c>
      <c r="B95" s="41" t="s">
        <v>67</v>
      </c>
      <c r="C95" s="40">
        <f>1</f>
        <v>1</v>
      </c>
      <c r="D95" s="92"/>
    </row>
    <row r="96" spans="1:4" ht="12.75">
      <c r="A96" s="51" t="s">
        <v>142</v>
      </c>
      <c r="B96" s="41" t="s">
        <v>67</v>
      </c>
      <c r="C96" s="40">
        <f>1</f>
        <v>1</v>
      </c>
      <c r="D96" s="92"/>
    </row>
    <row r="97" spans="1:4" ht="12.75">
      <c r="A97" s="51" t="s">
        <v>399</v>
      </c>
      <c r="B97" s="41" t="s">
        <v>39</v>
      </c>
      <c r="C97" s="41">
        <v>12</v>
      </c>
      <c r="D97" s="92"/>
    </row>
    <row r="98" spans="1:4" ht="12.75">
      <c r="A98" s="49" t="s">
        <v>145</v>
      </c>
      <c r="B98" s="36"/>
      <c r="C98" s="36"/>
      <c r="D98" s="38"/>
    </row>
    <row r="99" spans="1:4" ht="12.75">
      <c r="A99" s="52" t="s">
        <v>149</v>
      </c>
      <c r="B99" s="40" t="s">
        <v>67</v>
      </c>
      <c r="C99" s="40">
        <v>7</v>
      </c>
      <c r="D99" s="92"/>
    </row>
    <row r="100" spans="1:4" s="1" customFormat="1" ht="12.75">
      <c r="A100" s="80" t="s">
        <v>151</v>
      </c>
      <c r="B100" s="41" t="s">
        <v>39</v>
      </c>
      <c r="C100" s="41">
        <v>291</v>
      </c>
      <c r="D100" s="130"/>
    </row>
    <row r="101" spans="1:4" ht="12.75">
      <c r="A101" s="52" t="s">
        <v>198</v>
      </c>
      <c r="B101" s="41" t="s">
        <v>67</v>
      </c>
      <c r="C101" s="40">
        <v>40</v>
      </c>
      <c r="D101" s="92"/>
    </row>
    <row r="102" spans="1:4" ht="12.75">
      <c r="A102" s="49" t="s">
        <v>157</v>
      </c>
      <c r="B102" s="36"/>
      <c r="C102" s="36"/>
      <c r="D102" s="38"/>
    </row>
    <row r="103" spans="1:4" s="1" customFormat="1" ht="12.75">
      <c r="A103" s="80" t="s">
        <v>400</v>
      </c>
      <c r="B103" s="41" t="s">
        <v>39</v>
      </c>
      <c r="C103" s="41">
        <v>138</v>
      </c>
      <c r="D103" s="68" t="s">
        <v>186</v>
      </c>
    </row>
    <row r="104" spans="1:4" ht="12.75">
      <c r="A104" s="131" t="s">
        <v>161</v>
      </c>
      <c r="B104" s="132"/>
      <c r="C104" s="133"/>
      <c r="D104" s="134"/>
    </row>
    <row r="105" spans="1:4" ht="12.75">
      <c r="A105" s="54" t="s">
        <v>162</v>
      </c>
      <c r="B105" s="58" t="s">
        <v>401</v>
      </c>
      <c r="C105" s="56">
        <v>1</v>
      </c>
      <c r="D105" s="68" t="s">
        <v>44</v>
      </c>
    </row>
    <row r="106" spans="1:4" ht="12.75">
      <c r="A106" s="54" t="s">
        <v>163</v>
      </c>
      <c r="B106" s="58" t="s">
        <v>401</v>
      </c>
      <c r="C106" s="56">
        <v>1</v>
      </c>
      <c r="D106" s="89" t="s">
        <v>164</v>
      </c>
    </row>
    <row r="107" spans="1:4" ht="12.75">
      <c r="A107" s="35" t="s">
        <v>165</v>
      </c>
      <c r="B107" s="36"/>
      <c r="C107" s="60"/>
      <c r="D107" s="45"/>
    </row>
    <row r="108" spans="1:4" ht="12.75">
      <c r="A108" s="54" t="s">
        <v>162</v>
      </c>
      <c r="B108" s="58" t="s">
        <v>401</v>
      </c>
      <c r="C108" s="56">
        <v>1</v>
      </c>
      <c r="D108" s="68" t="s">
        <v>44</v>
      </c>
    </row>
    <row r="109" spans="1:4" ht="12.75">
      <c r="A109" s="54" t="s">
        <v>163</v>
      </c>
      <c r="B109" s="58" t="s">
        <v>401</v>
      </c>
      <c r="C109" s="56">
        <v>1</v>
      </c>
      <c r="D109" s="89" t="s">
        <v>164</v>
      </c>
    </row>
    <row r="110" spans="1:4" ht="12.75">
      <c r="A110" s="49" t="s">
        <v>166</v>
      </c>
      <c r="B110" s="37"/>
      <c r="C110" s="60"/>
      <c r="D110" s="62"/>
    </row>
    <row r="111" spans="1:4" ht="12.75">
      <c r="A111" s="54" t="s">
        <v>162</v>
      </c>
      <c r="B111" s="58" t="s">
        <v>39</v>
      </c>
      <c r="C111" s="56">
        <f>37.7+127.8</f>
        <v>165.5</v>
      </c>
      <c r="D111" s="47" t="s">
        <v>175</v>
      </c>
    </row>
    <row r="112" spans="1:4" ht="12.75">
      <c r="A112" s="54" t="s">
        <v>163</v>
      </c>
      <c r="B112" s="58" t="s">
        <v>39</v>
      </c>
      <c r="C112" s="56">
        <f>37.7+127.8</f>
        <v>165.5</v>
      </c>
      <c r="D112" s="89" t="s">
        <v>164</v>
      </c>
    </row>
    <row r="114" ht="12.75">
      <c r="A114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4:C24"/>
    <mergeCell ref="A48:C48"/>
    <mergeCell ref="A49:C49"/>
    <mergeCell ref="A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B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72:B72"/>
    <mergeCell ref="A76:B76"/>
  </mergeCells>
  <printOptions/>
  <pageMargins left="0.5513888888888889" right="0.3541666666666667" top="0.7875" bottom="0.5902777777777778" header="0.5118055555555555" footer="0.5118055555555555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</sheetPr>
  <dimension ref="A1:D106"/>
  <sheetViews>
    <sheetView workbookViewId="0" topLeftCell="A79">
      <selection activeCell="A82" sqref="A82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625" style="0" customWidth="1"/>
  </cols>
  <sheetData>
    <row r="1" ht="12.75" hidden="1">
      <c r="D1" t="s">
        <v>402</v>
      </c>
    </row>
    <row r="2" ht="12.75" hidden="1">
      <c r="D2" t="s">
        <v>403</v>
      </c>
    </row>
    <row r="3" ht="12.75" hidden="1">
      <c r="D3" t="s">
        <v>31</v>
      </c>
    </row>
    <row r="4" spans="3:4" ht="12.75" hidden="1">
      <c r="C4" s="135"/>
      <c r="D4" t="s">
        <v>404</v>
      </c>
    </row>
    <row r="5" ht="12.75" hidden="1"/>
    <row r="6" ht="12.75" hidden="1"/>
    <row r="7" spans="1:3" ht="17.25" customHeight="1">
      <c r="A7" s="2" t="s">
        <v>0</v>
      </c>
      <c r="B7" s="2"/>
      <c r="C7" s="2"/>
    </row>
    <row r="8" spans="1:3" ht="13.5" customHeight="1">
      <c r="A8" s="2" t="s">
        <v>1</v>
      </c>
      <c r="B8" s="2"/>
      <c r="C8" s="2"/>
    </row>
    <row r="9" spans="1:3" ht="18" customHeight="1">
      <c r="A9" s="2" t="s">
        <v>2</v>
      </c>
      <c r="B9" s="2"/>
      <c r="C9" s="2"/>
    </row>
    <row r="10" spans="1:3" ht="22.5" customHeight="1">
      <c r="A10" s="3" t="s">
        <v>405</v>
      </c>
      <c r="B10" s="3"/>
      <c r="C10" s="3"/>
    </row>
    <row r="11" spans="1:3" ht="12.75" customHeight="1">
      <c r="A11" s="2" t="s">
        <v>4</v>
      </c>
      <c r="B11" s="2"/>
      <c r="C11" s="2"/>
    </row>
    <row r="12" ht="23.25" customHeight="1"/>
    <row r="13" spans="1:3" ht="12.75">
      <c r="A13" s="1" t="s">
        <v>5</v>
      </c>
      <c r="C13" s="4" t="s">
        <v>381</v>
      </c>
    </row>
    <row r="14" spans="1:3" ht="12.75">
      <c r="A14" s="1" t="s">
        <v>7</v>
      </c>
      <c r="C14" s="4" t="s">
        <v>382</v>
      </c>
    </row>
    <row r="15" spans="1:3" ht="12.75">
      <c r="A15" s="1" t="s">
        <v>9</v>
      </c>
      <c r="C15" s="7"/>
    </row>
    <row r="16" spans="1:3" ht="12.75">
      <c r="A16" s="1" t="s">
        <v>11</v>
      </c>
      <c r="C16" s="7" t="s">
        <v>406</v>
      </c>
    </row>
    <row r="17" spans="1:3" ht="12.75">
      <c r="A17" s="1" t="s">
        <v>13</v>
      </c>
      <c r="C17" s="7"/>
    </row>
    <row r="18" spans="1:3" ht="12.75">
      <c r="A18" s="1" t="s">
        <v>14</v>
      </c>
      <c r="C18" s="7"/>
    </row>
    <row r="19" spans="1:3" ht="12.75">
      <c r="A19" s="1" t="s">
        <v>15</v>
      </c>
      <c r="B19" s="1" t="s">
        <v>16</v>
      </c>
      <c r="C19" s="7"/>
    </row>
    <row r="20" spans="1:3" ht="12.75">
      <c r="A20" s="1" t="s">
        <v>17</v>
      </c>
      <c r="B20" s="1" t="s">
        <v>18</v>
      </c>
      <c r="C20" s="7"/>
    </row>
    <row r="21" spans="1:3" ht="12.75">
      <c r="A21" s="1" t="s">
        <v>19</v>
      </c>
      <c r="B21" s="1" t="s">
        <v>20</v>
      </c>
      <c r="C21" s="7"/>
    </row>
    <row r="22" spans="1:3" ht="12.75">
      <c r="A22" s="1" t="s">
        <v>23</v>
      </c>
      <c r="B22" s="1" t="s">
        <v>232</v>
      </c>
      <c r="C22" s="7"/>
    </row>
    <row r="23" spans="1:3" ht="12.75">
      <c r="A23" s="1" t="s">
        <v>25</v>
      </c>
      <c r="B23" s="1" t="s">
        <v>26</v>
      </c>
      <c r="C23" s="7"/>
    </row>
    <row r="24" spans="1:3" ht="12.75">
      <c r="A24" s="1" t="s">
        <v>27</v>
      </c>
      <c r="B24" s="1" t="s">
        <v>28</v>
      </c>
      <c r="C24" s="7"/>
    </row>
    <row r="25" spans="1:3" ht="12.75">
      <c r="A25" s="1" t="s">
        <v>29</v>
      </c>
      <c r="C25" s="7"/>
    </row>
    <row r="26" spans="1:3" ht="12.75">
      <c r="A26" s="1" t="s">
        <v>30</v>
      </c>
      <c r="B26" s="1" t="s">
        <v>31</v>
      </c>
      <c r="C26" s="7"/>
    </row>
    <row r="27" ht="12.75">
      <c r="C27" s="7"/>
    </row>
    <row r="28" spans="1:3" ht="12.75">
      <c r="A28" s="1" t="s">
        <v>32</v>
      </c>
      <c r="C28" s="71">
        <v>0.8819</v>
      </c>
    </row>
    <row r="29" spans="1:3" ht="20.25" customHeight="1">
      <c r="A29" s="72"/>
      <c r="C29" s="7"/>
    </row>
    <row r="30" spans="1:3" ht="36" customHeight="1">
      <c r="A30" s="10" t="s">
        <v>33</v>
      </c>
      <c r="B30" s="10"/>
      <c r="C30" s="10"/>
    </row>
    <row r="31" spans="1:4" ht="12.75">
      <c r="A31" s="11" t="s">
        <v>34</v>
      </c>
      <c r="B31" s="11" t="s">
        <v>35</v>
      </c>
      <c r="C31" s="11" t="s">
        <v>36</v>
      </c>
      <c r="D31" s="12" t="s">
        <v>37</v>
      </c>
    </row>
    <row r="32" spans="1:4" ht="25.5">
      <c r="A32" s="13" t="s">
        <v>38</v>
      </c>
      <c r="B32" s="14" t="s">
        <v>39</v>
      </c>
      <c r="C32" s="15">
        <v>102</v>
      </c>
      <c r="D32" s="16" t="s">
        <v>40</v>
      </c>
    </row>
    <row r="33" spans="1:4" ht="12.75">
      <c r="A33" s="13" t="s">
        <v>41</v>
      </c>
      <c r="B33" s="14" t="s">
        <v>39</v>
      </c>
      <c r="C33" s="73">
        <v>102</v>
      </c>
      <c r="D33" s="16" t="s">
        <v>42</v>
      </c>
    </row>
    <row r="34" spans="1:4" ht="51">
      <c r="A34" s="13" t="s">
        <v>43</v>
      </c>
      <c r="B34" s="14" t="s">
        <v>39</v>
      </c>
      <c r="C34" s="123">
        <v>375</v>
      </c>
      <c r="D34" s="16" t="s">
        <v>44</v>
      </c>
    </row>
    <row r="35" spans="1:4" ht="12.75">
      <c r="A35" s="13" t="s">
        <v>45</v>
      </c>
      <c r="B35" s="14" t="s">
        <v>39</v>
      </c>
      <c r="C35" s="15">
        <v>3</v>
      </c>
      <c r="D35" s="16" t="s">
        <v>46</v>
      </c>
    </row>
    <row r="36" spans="1:4" ht="12.75">
      <c r="A36" s="13" t="s">
        <v>47</v>
      </c>
      <c r="B36" s="17" t="s">
        <v>39</v>
      </c>
      <c r="C36" s="15">
        <v>9</v>
      </c>
      <c r="D36" s="16" t="s">
        <v>48</v>
      </c>
    </row>
    <row r="37" spans="1:4" ht="12.75">
      <c r="A37" s="13" t="s">
        <v>49</v>
      </c>
      <c r="B37" s="17" t="s">
        <v>50</v>
      </c>
      <c r="C37" s="73">
        <v>102</v>
      </c>
      <c r="D37" s="16" t="s">
        <v>51</v>
      </c>
    </row>
    <row r="38" spans="1:4" ht="12.75">
      <c r="A38" s="13" t="s">
        <v>52</v>
      </c>
      <c r="B38" s="17" t="s">
        <v>39</v>
      </c>
      <c r="C38" s="15">
        <v>153</v>
      </c>
      <c r="D38" s="16" t="s">
        <v>53</v>
      </c>
    </row>
    <row r="39" spans="1:4" ht="12.75" hidden="1">
      <c r="A39" s="13" t="s">
        <v>54</v>
      </c>
      <c r="B39" s="17" t="s">
        <v>39</v>
      </c>
      <c r="C39" s="15"/>
      <c r="D39" s="16" t="s">
        <v>233</v>
      </c>
    </row>
    <row r="40" spans="1:4" ht="12.75" hidden="1">
      <c r="A40" s="13" t="s">
        <v>56</v>
      </c>
      <c r="B40" s="17" t="s">
        <v>39</v>
      </c>
      <c r="C40" s="15"/>
      <c r="D40" s="16" t="s">
        <v>233</v>
      </c>
    </row>
    <row r="41" spans="1:4" ht="12.75" hidden="1">
      <c r="A41" s="13" t="s">
        <v>59</v>
      </c>
      <c r="B41" s="17" t="s">
        <v>39</v>
      </c>
      <c r="C41" s="15"/>
      <c r="D41" s="16" t="s">
        <v>233</v>
      </c>
    </row>
    <row r="42" spans="1:4" ht="12.75">
      <c r="A42" s="13" t="s">
        <v>61</v>
      </c>
      <c r="B42" s="17" t="s">
        <v>39</v>
      </c>
      <c r="C42" s="15">
        <f>548+548</f>
        <v>1096</v>
      </c>
      <c r="D42" s="16" t="s">
        <v>46</v>
      </c>
    </row>
    <row r="43" spans="1:4" ht="12.75">
      <c r="A43" s="13" t="s">
        <v>62</v>
      </c>
      <c r="B43" s="17" t="s">
        <v>39</v>
      </c>
      <c r="C43" s="73">
        <v>102</v>
      </c>
      <c r="D43" s="16" t="s">
        <v>53</v>
      </c>
    </row>
    <row r="44" spans="1:4" ht="12.75" hidden="1">
      <c r="A44" s="13" t="s">
        <v>63</v>
      </c>
      <c r="B44" s="17" t="s">
        <v>39</v>
      </c>
      <c r="C44" s="15"/>
      <c r="D44" s="16" t="s">
        <v>233</v>
      </c>
    </row>
    <row r="45" spans="1:4" ht="12.75" hidden="1">
      <c r="A45" s="13" t="s">
        <v>64</v>
      </c>
      <c r="B45" s="17" t="s">
        <v>39</v>
      </c>
      <c r="C45" s="15"/>
      <c r="D45" s="16" t="s">
        <v>233</v>
      </c>
    </row>
    <row r="46" spans="1:4" ht="12.75" hidden="1">
      <c r="A46" s="13" t="s">
        <v>65</v>
      </c>
      <c r="B46" s="17" t="s">
        <v>39</v>
      </c>
      <c r="C46" s="15"/>
      <c r="D46" s="16" t="s">
        <v>233</v>
      </c>
    </row>
    <row r="47" spans="1:4" ht="12.75" hidden="1">
      <c r="A47" s="13" t="s">
        <v>66</v>
      </c>
      <c r="B47" s="17" t="s">
        <v>67</v>
      </c>
      <c r="C47" s="15"/>
      <c r="D47" s="16" t="s">
        <v>233</v>
      </c>
    </row>
    <row r="48" spans="1:4" ht="12.75" hidden="1">
      <c r="A48" s="13" t="s">
        <v>68</v>
      </c>
      <c r="B48" s="17" t="s">
        <v>67</v>
      </c>
      <c r="C48" s="15"/>
      <c r="D48" s="16" t="s">
        <v>233</v>
      </c>
    </row>
    <row r="49" spans="1:4" ht="12.75" hidden="1">
      <c r="A49" s="13" t="s">
        <v>70</v>
      </c>
      <c r="B49" s="17" t="s">
        <v>39</v>
      </c>
      <c r="C49" s="15"/>
      <c r="D49" s="16" t="s">
        <v>233</v>
      </c>
    </row>
    <row r="50" spans="1:4" ht="12.75" hidden="1">
      <c r="A50" s="13" t="s">
        <v>72</v>
      </c>
      <c r="B50" s="17" t="s">
        <v>39</v>
      </c>
      <c r="C50" s="15"/>
      <c r="D50" s="16" t="s">
        <v>233</v>
      </c>
    </row>
    <row r="51" spans="1:4" ht="12.75" hidden="1">
      <c r="A51" s="13" t="s">
        <v>73</v>
      </c>
      <c r="B51" s="17" t="s">
        <v>67</v>
      </c>
      <c r="C51" s="15"/>
      <c r="D51" s="16" t="s">
        <v>233</v>
      </c>
    </row>
    <row r="52" spans="1:4" ht="19.5" customHeight="1">
      <c r="A52" s="13" t="s">
        <v>74</v>
      </c>
      <c r="B52" s="17" t="s">
        <v>39</v>
      </c>
      <c r="C52" s="15">
        <v>548</v>
      </c>
      <c r="D52" s="16" t="s">
        <v>60</v>
      </c>
    </row>
    <row r="53" spans="1:4" ht="18.75" customHeight="1">
      <c r="A53" s="18" t="s">
        <v>75</v>
      </c>
      <c r="B53" s="18"/>
      <c r="C53" s="18"/>
      <c r="D53" s="19"/>
    </row>
    <row r="54" spans="1:4" ht="12.75" customHeight="1">
      <c r="A54" s="20" t="s">
        <v>76</v>
      </c>
      <c r="B54" s="20"/>
      <c r="C54" s="20"/>
      <c r="D54" s="21"/>
    </row>
    <row r="55" spans="1:4" ht="12.75" customHeight="1">
      <c r="A55" s="22" t="s">
        <v>77</v>
      </c>
      <c r="B55" s="22"/>
      <c r="C55" s="22"/>
      <c r="D55" s="23"/>
    </row>
    <row r="56" spans="1:4" ht="25.5" customHeight="1">
      <c r="A56" s="13" t="s">
        <v>78</v>
      </c>
      <c r="B56" s="24" t="s">
        <v>79</v>
      </c>
      <c r="C56" s="24"/>
      <c r="D56" s="13" t="s">
        <v>80</v>
      </c>
    </row>
    <row r="57" spans="1:4" ht="25.5" customHeight="1">
      <c r="A57" s="13" t="s">
        <v>81</v>
      </c>
      <c r="B57" s="24" t="s">
        <v>79</v>
      </c>
      <c r="C57" s="24"/>
      <c r="D57" s="13" t="s">
        <v>80</v>
      </c>
    </row>
    <row r="58" spans="1:4" ht="25.5" customHeight="1">
      <c r="A58" s="13" t="s">
        <v>82</v>
      </c>
      <c r="B58" s="24" t="s">
        <v>79</v>
      </c>
      <c r="C58" s="24"/>
      <c r="D58" s="13" t="s">
        <v>83</v>
      </c>
    </row>
    <row r="59" spans="1:4" ht="25.5" customHeight="1">
      <c r="A59" s="13" t="s">
        <v>84</v>
      </c>
      <c r="B59" s="24" t="s">
        <v>79</v>
      </c>
      <c r="C59" s="24"/>
      <c r="D59" s="13" t="s">
        <v>83</v>
      </c>
    </row>
    <row r="60" spans="1:4" ht="24.75" customHeight="1">
      <c r="A60" s="13" t="s">
        <v>85</v>
      </c>
      <c r="B60" s="24" t="s">
        <v>79</v>
      </c>
      <c r="C60" s="24"/>
      <c r="D60" s="13" t="s">
        <v>86</v>
      </c>
    </row>
    <row r="61" spans="1:4" ht="25.5" customHeight="1">
      <c r="A61" s="13" t="s">
        <v>87</v>
      </c>
      <c r="B61" s="24" t="s">
        <v>79</v>
      </c>
      <c r="C61" s="24"/>
      <c r="D61" s="13" t="s">
        <v>88</v>
      </c>
    </row>
    <row r="62" spans="1:4" ht="25.5" customHeight="1">
      <c r="A62" s="13" t="s">
        <v>89</v>
      </c>
      <c r="B62" s="24" t="s">
        <v>79</v>
      </c>
      <c r="C62" s="24"/>
      <c r="D62" s="13" t="s">
        <v>40</v>
      </c>
    </row>
    <row r="63" spans="1:4" ht="25.5" customHeight="1">
      <c r="A63" s="13" t="s">
        <v>90</v>
      </c>
      <c r="B63" s="24" t="s">
        <v>79</v>
      </c>
      <c r="C63" s="24"/>
      <c r="D63" s="13" t="s">
        <v>88</v>
      </c>
    </row>
    <row r="64" spans="1:4" ht="25.5" customHeight="1">
      <c r="A64" s="13" t="s">
        <v>91</v>
      </c>
      <c r="B64" s="24" t="s">
        <v>79</v>
      </c>
      <c r="C64" s="24"/>
      <c r="D64" s="13" t="s">
        <v>92</v>
      </c>
    </row>
    <row r="65" spans="1:4" ht="27" customHeight="1">
      <c r="A65" s="13" t="s">
        <v>93</v>
      </c>
      <c r="B65" s="24" t="s">
        <v>79</v>
      </c>
      <c r="C65" s="24"/>
      <c r="D65" s="86" t="s">
        <v>94</v>
      </c>
    </row>
    <row r="66" spans="1:4" ht="12.75" customHeight="1">
      <c r="A66" s="28" t="s">
        <v>95</v>
      </c>
      <c r="B66" s="28"/>
      <c r="C66" s="29"/>
      <c r="D66" s="30"/>
    </row>
    <row r="67" spans="1:4" ht="27.75" customHeight="1">
      <c r="A67" s="13" t="s">
        <v>96</v>
      </c>
      <c r="B67" s="24" t="s">
        <v>79</v>
      </c>
      <c r="C67" s="24"/>
      <c r="D67" s="13" t="s">
        <v>88</v>
      </c>
    </row>
    <row r="68" spans="1:4" ht="25.5" customHeight="1">
      <c r="A68" s="13" t="s">
        <v>97</v>
      </c>
      <c r="B68" s="24" t="s">
        <v>79</v>
      </c>
      <c r="C68" s="24"/>
      <c r="D68" s="13" t="s">
        <v>98</v>
      </c>
    </row>
    <row r="69" spans="1:4" ht="25.5" customHeight="1">
      <c r="A69" s="13" t="s">
        <v>99</v>
      </c>
      <c r="B69" s="24" t="s">
        <v>79</v>
      </c>
      <c r="C69" s="24"/>
      <c r="D69" s="13" t="s">
        <v>100</v>
      </c>
    </row>
    <row r="70" spans="1:4" ht="27.75" customHeight="1">
      <c r="A70" s="13" t="s">
        <v>101</v>
      </c>
      <c r="B70" s="24" t="s">
        <v>79</v>
      </c>
      <c r="C70" s="24"/>
      <c r="D70" s="13" t="s">
        <v>88</v>
      </c>
    </row>
    <row r="71" spans="1:4" ht="26.25" customHeight="1">
      <c r="A71" s="13" t="s">
        <v>102</v>
      </c>
      <c r="B71" s="24" t="s">
        <v>79</v>
      </c>
      <c r="C71" s="24"/>
      <c r="D71" s="13" t="s">
        <v>60</v>
      </c>
    </row>
    <row r="72" spans="1:4" ht="30" customHeight="1">
      <c r="A72" s="13" t="s">
        <v>103</v>
      </c>
      <c r="B72" s="24" t="s">
        <v>79</v>
      </c>
      <c r="C72" s="24"/>
      <c r="D72" s="13" t="s">
        <v>104</v>
      </c>
    </row>
    <row r="73" spans="1:4" ht="25.5" customHeight="1">
      <c r="A73" s="13" t="s">
        <v>105</v>
      </c>
      <c r="B73" s="24" t="s">
        <v>79</v>
      </c>
      <c r="C73" s="24"/>
      <c r="D73" s="13" t="s">
        <v>106</v>
      </c>
    </row>
    <row r="74" spans="1:4" ht="25.5" customHeight="1">
      <c r="A74" s="13" t="s">
        <v>107</v>
      </c>
      <c r="B74" s="24" t="s">
        <v>79</v>
      </c>
      <c r="C74" s="24"/>
      <c r="D74" s="13" t="s">
        <v>108</v>
      </c>
    </row>
    <row r="75" spans="1:4" ht="24.75" customHeight="1">
      <c r="A75" s="13" t="s">
        <v>89</v>
      </c>
      <c r="B75" s="24" t="s">
        <v>79</v>
      </c>
      <c r="C75" s="24"/>
      <c r="D75" s="13" t="s">
        <v>40</v>
      </c>
    </row>
    <row r="76" spans="1:4" ht="12.75" customHeight="1">
      <c r="A76" s="13" t="s">
        <v>109</v>
      </c>
      <c r="B76" s="24" t="s">
        <v>79</v>
      </c>
      <c r="C76" s="24"/>
      <c r="D76" s="13" t="s">
        <v>108</v>
      </c>
    </row>
    <row r="77" spans="1:4" ht="13.5" customHeight="1">
      <c r="A77" s="28" t="s">
        <v>110</v>
      </c>
      <c r="B77" s="28"/>
      <c r="C77" s="31"/>
      <c r="D77" s="30"/>
    </row>
    <row r="78" spans="1:4" ht="26.25" customHeight="1">
      <c r="A78" s="13" t="s">
        <v>111</v>
      </c>
      <c r="B78" s="14" t="s">
        <v>112</v>
      </c>
      <c r="C78" s="15">
        <f>79*1.15*12</f>
        <v>1090.1999999999998</v>
      </c>
      <c r="D78" s="74" t="s">
        <v>69</v>
      </c>
    </row>
    <row r="79" spans="1:4" ht="12.75">
      <c r="A79" s="13" t="s">
        <v>113</v>
      </c>
      <c r="B79" s="33" t="s">
        <v>112</v>
      </c>
      <c r="C79" s="15">
        <f>0.75*2*2*51</f>
        <v>153</v>
      </c>
      <c r="D79" s="74" t="s">
        <v>114</v>
      </c>
    </row>
    <row r="80" spans="1:4" ht="12.75">
      <c r="A80" s="13" t="s">
        <v>115</v>
      </c>
      <c r="B80" s="136" t="s">
        <v>67</v>
      </c>
      <c r="C80" s="15">
        <v>5</v>
      </c>
      <c r="D80" s="74" t="s">
        <v>116</v>
      </c>
    </row>
    <row r="81" spans="1:4" ht="14.25" customHeight="1">
      <c r="A81" s="18" t="s">
        <v>117</v>
      </c>
      <c r="B81" s="18"/>
      <c r="C81" s="34"/>
      <c r="D81" s="19"/>
    </row>
    <row r="82" spans="1:4" ht="12.75">
      <c r="A82" s="35" t="s">
        <v>118</v>
      </c>
      <c r="B82" s="36"/>
      <c r="C82" s="82"/>
      <c r="D82" s="38"/>
    </row>
    <row r="83" spans="1:4" s="139" customFormat="1" ht="12.75">
      <c r="A83" s="137" t="s">
        <v>407</v>
      </c>
      <c r="B83" s="138" t="s">
        <v>39</v>
      </c>
      <c r="C83" s="55">
        <v>25</v>
      </c>
      <c r="D83" s="81"/>
    </row>
    <row r="84" spans="1:4" s="139" customFormat="1" ht="12.75">
      <c r="A84" s="137" t="s">
        <v>408</v>
      </c>
      <c r="B84" s="138" t="s">
        <v>67</v>
      </c>
      <c r="C84" s="55">
        <v>6</v>
      </c>
      <c r="D84" s="81"/>
    </row>
    <row r="85" spans="1:4" ht="12.75">
      <c r="A85" s="35" t="s">
        <v>126</v>
      </c>
      <c r="B85" s="36"/>
      <c r="C85" s="82"/>
      <c r="D85" s="38"/>
    </row>
    <row r="86" spans="1:4" ht="12.75">
      <c r="A86" s="43" t="s">
        <v>125</v>
      </c>
      <c r="B86" s="46" t="s">
        <v>67</v>
      </c>
      <c r="C86" s="40">
        <f>3+1</f>
        <v>4</v>
      </c>
      <c r="D86" s="81"/>
    </row>
    <row r="87" spans="1:4" ht="12.75">
      <c r="A87" s="43" t="s">
        <v>129</v>
      </c>
      <c r="B87" s="40" t="s">
        <v>67</v>
      </c>
      <c r="C87" s="41">
        <f>2+2</f>
        <v>4</v>
      </c>
      <c r="D87" s="81"/>
    </row>
    <row r="88" spans="1:4" s="1" customFormat="1" ht="12.75">
      <c r="A88" s="43" t="s">
        <v>131</v>
      </c>
      <c r="B88" s="40" t="s">
        <v>67</v>
      </c>
      <c r="C88" s="40">
        <v>2</v>
      </c>
      <c r="D88" s="47" t="s">
        <v>290</v>
      </c>
    </row>
    <row r="89" spans="1:4" ht="12.75">
      <c r="A89" s="88" t="s">
        <v>268</v>
      </c>
      <c r="B89" s="40" t="s">
        <v>67</v>
      </c>
      <c r="C89" s="41">
        <v>2</v>
      </c>
      <c r="D89" s="81"/>
    </row>
    <row r="90" spans="1:4" ht="12.75">
      <c r="A90" s="49" t="s">
        <v>145</v>
      </c>
      <c r="B90" s="36"/>
      <c r="C90" s="36"/>
      <c r="D90" s="115"/>
    </row>
    <row r="91" spans="1:4" ht="12.75">
      <c r="A91" s="52" t="s">
        <v>147</v>
      </c>
      <c r="B91" s="40" t="s">
        <v>67</v>
      </c>
      <c r="C91" s="40">
        <v>2</v>
      </c>
      <c r="D91" s="81"/>
    </row>
    <row r="92" spans="1:4" ht="12.75">
      <c r="A92" s="52" t="s">
        <v>150</v>
      </c>
      <c r="B92" s="41" t="s">
        <v>39</v>
      </c>
      <c r="C92" s="40">
        <v>420</v>
      </c>
      <c r="D92" s="81"/>
    </row>
    <row r="93" spans="1:4" ht="12.75">
      <c r="A93" s="52" t="s">
        <v>154</v>
      </c>
      <c r="B93" s="41" t="s">
        <v>67</v>
      </c>
      <c r="C93" s="40">
        <v>2</v>
      </c>
      <c r="D93" s="81"/>
    </row>
    <row r="94" spans="1:4" ht="12.75">
      <c r="A94" s="49" t="s">
        <v>157</v>
      </c>
      <c r="B94" s="36"/>
      <c r="C94" s="36"/>
      <c r="D94" s="115"/>
    </row>
    <row r="95" spans="1:4" s="1" customFormat="1" ht="12.75">
      <c r="A95" s="80" t="s">
        <v>202</v>
      </c>
      <c r="B95" s="41" t="s">
        <v>39</v>
      </c>
      <c r="C95" s="41">
        <v>371</v>
      </c>
      <c r="D95" s="44"/>
    </row>
    <row r="96" spans="1:4" ht="12.75">
      <c r="A96" s="49" t="s">
        <v>161</v>
      </c>
      <c r="B96" s="36"/>
      <c r="C96" s="116"/>
      <c r="D96" s="115"/>
    </row>
    <row r="97" spans="1:4" ht="12.75">
      <c r="A97" s="54" t="s">
        <v>162</v>
      </c>
      <c r="B97" s="56" t="s">
        <v>39</v>
      </c>
      <c r="C97" s="56">
        <v>548.4</v>
      </c>
      <c r="D97" s="68" t="s">
        <v>44</v>
      </c>
    </row>
    <row r="98" spans="1:4" ht="25.5">
      <c r="A98" s="54" t="s">
        <v>163</v>
      </c>
      <c r="B98" s="56" t="s">
        <v>39</v>
      </c>
      <c r="C98" s="56">
        <v>548.4</v>
      </c>
      <c r="D98" s="89" t="s">
        <v>164</v>
      </c>
    </row>
    <row r="99" spans="1:4" ht="15">
      <c r="A99" s="49" t="s">
        <v>165</v>
      </c>
      <c r="B99" s="37"/>
      <c r="C99" s="60"/>
      <c r="D99" s="62"/>
    </row>
    <row r="100" spans="1:4" ht="12.75">
      <c r="A100" s="54" t="s">
        <v>162</v>
      </c>
      <c r="B100" s="56" t="s">
        <v>39</v>
      </c>
      <c r="C100" s="56">
        <v>548.4</v>
      </c>
      <c r="D100" s="68" t="s">
        <v>44</v>
      </c>
    </row>
    <row r="101" spans="1:4" ht="25.5">
      <c r="A101" s="54" t="s">
        <v>163</v>
      </c>
      <c r="B101" s="56" t="s">
        <v>39</v>
      </c>
      <c r="C101" s="56">
        <v>548.4</v>
      </c>
      <c r="D101" s="89" t="s">
        <v>164</v>
      </c>
    </row>
    <row r="102" spans="1:4" ht="15">
      <c r="A102" s="49" t="s">
        <v>166</v>
      </c>
      <c r="B102" s="37"/>
      <c r="C102" s="60"/>
      <c r="D102" s="62"/>
    </row>
    <row r="103" spans="1:4" ht="12.75">
      <c r="A103" s="54" t="s">
        <v>162</v>
      </c>
      <c r="B103" s="56" t="s">
        <v>39</v>
      </c>
      <c r="C103" s="56">
        <v>746</v>
      </c>
      <c r="D103" s="47" t="s">
        <v>175</v>
      </c>
    </row>
    <row r="104" spans="1:4" ht="27.75" customHeight="1">
      <c r="A104" s="54" t="s">
        <v>163</v>
      </c>
      <c r="B104" s="56" t="s">
        <v>39</v>
      </c>
      <c r="C104" s="56">
        <v>746</v>
      </c>
      <c r="D104" s="89" t="s">
        <v>164</v>
      </c>
    </row>
    <row r="105" ht="12.75"/>
    <row r="106" ht="12.75">
      <c r="A106" s="90"/>
    </row>
  </sheetData>
  <sheetProtection selectLockedCells="1" selectUnlockedCells="1"/>
  <mergeCells count="32">
    <mergeCell ref="A7:C7"/>
    <mergeCell ref="A8:C8"/>
    <mergeCell ref="A9:C9"/>
    <mergeCell ref="A10:C10"/>
    <mergeCell ref="A11:C11"/>
    <mergeCell ref="A30:C30"/>
    <mergeCell ref="A53:C53"/>
    <mergeCell ref="A54:C54"/>
    <mergeCell ref="A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A66:B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A77:B77"/>
    <mergeCell ref="A81:B81"/>
  </mergeCells>
  <printOptions/>
  <pageMargins left="0.5513888888888889" right="0.3541666666666667" top="0.5902777777777778" bottom="0.39375" header="0.5118055555555555" footer="0.5118055555555555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</sheetPr>
  <dimension ref="A1:D121"/>
  <sheetViews>
    <sheetView workbookViewId="0" topLeftCell="A94">
      <selection activeCell="A120" sqref="A120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409</v>
      </c>
      <c r="B4" s="3"/>
      <c r="C4" s="3"/>
    </row>
    <row r="5" spans="1:3" ht="18.75" customHeight="1">
      <c r="A5" s="2" t="s">
        <v>333</v>
      </c>
      <c r="B5" s="2"/>
      <c r="C5" s="2"/>
    </row>
    <row r="7" spans="1:3" ht="12.75">
      <c r="A7" s="1" t="s">
        <v>5</v>
      </c>
      <c r="C7" s="140" t="s">
        <v>410</v>
      </c>
    </row>
    <row r="8" spans="1:3" ht="12.75">
      <c r="A8" s="1" t="s">
        <v>7</v>
      </c>
      <c r="C8" s="140" t="s">
        <v>411</v>
      </c>
    </row>
    <row r="9" spans="1:3" ht="12.75">
      <c r="A9" s="1" t="s">
        <v>9</v>
      </c>
      <c r="C9" s="70"/>
    </row>
    <row r="10" ht="12.75">
      <c r="C10" s="70"/>
    </row>
    <row r="11" spans="1:3" ht="12.75">
      <c r="A11" s="1" t="s">
        <v>11</v>
      </c>
      <c r="C11" s="7" t="s">
        <v>412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25</v>
      </c>
      <c r="B17" s="1" t="s">
        <v>26</v>
      </c>
      <c r="C17" s="7"/>
    </row>
    <row r="18" spans="1:3" ht="12.75">
      <c r="A18" s="1" t="s">
        <v>27</v>
      </c>
      <c r="B18" s="1" t="s">
        <v>28</v>
      </c>
      <c r="C18" s="7"/>
    </row>
    <row r="19" spans="1:3" ht="12.75">
      <c r="A19" s="1" t="s">
        <v>29</v>
      </c>
      <c r="C19" s="7"/>
    </row>
    <row r="20" spans="1:3" ht="12.75">
      <c r="A20" s="1" t="s">
        <v>30</v>
      </c>
      <c r="B20" s="1" t="s">
        <v>31</v>
      </c>
      <c r="C20" s="7"/>
    </row>
    <row r="21" ht="12.75">
      <c r="C21" s="83"/>
    </row>
    <row r="22" spans="1:3" ht="12.75">
      <c r="A22" s="1" t="s">
        <v>32</v>
      </c>
      <c r="C22" s="71">
        <v>0.4693</v>
      </c>
    </row>
    <row r="23" spans="1:3" ht="12.75">
      <c r="A23" s="72"/>
      <c r="C23" s="7"/>
    </row>
    <row r="24" spans="1:3" ht="12.75" customHeight="1">
      <c r="A24" s="10" t="s">
        <v>33</v>
      </c>
      <c r="B24" s="10"/>
      <c r="C24" s="10"/>
    </row>
    <row r="25" ht="12.75"/>
    <row r="26" spans="1:4" ht="38.25">
      <c r="A26" s="11" t="s">
        <v>34</v>
      </c>
      <c r="B26" s="11" t="s">
        <v>35</v>
      </c>
      <c r="C26" s="11" t="s">
        <v>36</v>
      </c>
      <c r="D26" s="12" t="s">
        <v>37</v>
      </c>
    </row>
    <row r="27" spans="1:4" ht="25.5">
      <c r="A27" s="13" t="s">
        <v>38</v>
      </c>
      <c r="B27" s="14" t="s">
        <v>39</v>
      </c>
      <c r="C27" s="15">
        <v>191.4</v>
      </c>
      <c r="D27" s="16" t="s">
        <v>40</v>
      </c>
    </row>
    <row r="28" spans="1:4" ht="12.75">
      <c r="A28" s="13" t="s">
        <v>41</v>
      </c>
      <c r="B28" s="14" t="s">
        <v>39</v>
      </c>
      <c r="C28" s="15">
        <v>191.4</v>
      </c>
      <c r="D28" s="16" t="s">
        <v>42</v>
      </c>
    </row>
    <row r="29" spans="1:4" ht="51">
      <c r="A29" s="13" t="s">
        <v>43</v>
      </c>
      <c r="B29" s="14" t="s">
        <v>39</v>
      </c>
      <c r="C29" s="15">
        <v>777</v>
      </c>
      <c r="D29" s="16" t="s">
        <v>44</v>
      </c>
    </row>
    <row r="30" spans="1:4" ht="12.75">
      <c r="A30" s="13" t="s">
        <v>45</v>
      </c>
      <c r="B30" s="14" t="s">
        <v>39</v>
      </c>
      <c r="C30" s="15">
        <v>1</v>
      </c>
      <c r="D30" s="16" t="s">
        <v>46</v>
      </c>
    </row>
    <row r="31" spans="1:4" ht="25.5">
      <c r="A31" s="13" t="s">
        <v>47</v>
      </c>
      <c r="B31" s="17" t="s">
        <v>39</v>
      </c>
      <c r="C31" s="15">
        <v>1.8</v>
      </c>
      <c r="D31" s="16" t="s">
        <v>48</v>
      </c>
    </row>
    <row r="32" spans="1:4" ht="25.5">
      <c r="A32" s="13" t="s">
        <v>49</v>
      </c>
      <c r="B32" s="17" t="s">
        <v>50</v>
      </c>
      <c r="C32" s="73">
        <v>191.4</v>
      </c>
      <c r="D32" s="16" t="s">
        <v>51</v>
      </c>
    </row>
    <row r="33" spans="1:4" ht="25.5">
      <c r="A33" s="13" t="s">
        <v>52</v>
      </c>
      <c r="B33" s="17" t="s">
        <v>39</v>
      </c>
      <c r="C33" s="15">
        <v>287.1</v>
      </c>
      <c r="D33" s="16" t="s">
        <v>53</v>
      </c>
    </row>
    <row r="34" spans="1:4" ht="12.75">
      <c r="A34" s="13" t="s">
        <v>54</v>
      </c>
      <c r="B34" s="17" t="s">
        <v>39</v>
      </c>
      <c r="C34" s="15"/>
      <c r="D34" s="16" t="s">
        <v>233</v>
      </c>
    </row>
    <row r="35" spans="1:4" ht="12.75">
      <c r="A35" s="13" t="s">
        <v>56</v>
      </c>
      <c r="B35" s="17" t="s">
        <v>39</v>
      </c>
      <c r="C35" s="15"/>
      <c r="D35" s="16" t="s">
        <v>233</v>
      </c>
    </row>
    <row r="36" spans="1:4" ht="25.5">
      <c r="A36" s="13" t="s">
        <v>59</v>
      </c>
      <c r="B36" s="17" t="s">
        <v>39</v>
      </c>
      <c r="C36" s="15"/>
      <c r="D36" s="16" t="s">
        <v>233</v>
      </c>
    </row>
    <row r="37" spans="1:4" ht="12.75">
      <c r="A37" s="13" t="s">
        <v>61</v>
      </c>
      <c r="B37" s="17" t="s">
        <v>39</v>
      </c>
      <c r="C37" s="15">
        <v>815</v>
      </c>
      <c r="D37" s="16" t="s">
        <v>46</v>
      </c>
    </row>
    <row r="38" spans="1:4" ht="25.5">
      <c r="A38" s="13" t="s">
        <v>62</v>
      </c>
      <c r="B38" s="17" t="s">
        <v>39</v>
      </c>
      <c r="C38" s="73">
        <v>191.4</v>
      </c>
      <c r="D38" s="16" t="s">
        <v>53</v>
      </c>
    </row>
    <row r="39" spans="1:4" ht="12.75">
      <c r="A39" s="13" t="s">
        <v>63</v>
      </c>
      <c r="B39" s="17" t="s">
        <v>39</v>
      </c>
      <c r="C39" s="15"/>
      <c r="D39" s="16" t="s">
        <v>233</v>
      </c>
    </row>
    <row r="40" spans="1:4" ht="12.75">
      <c r="A40" s="13" t="s">
        <v>64</v>
      </c>
      <c r="B40" s="17" t="s">
        <v>39</v>
      </c>
      <c r="C40" s="15"/>
      <c r="D40" s="16" t="s">
        <v>233</v>
      </c>
    </row>
    <row r="41" spans="1:4" ht="12.75">
      <c r="A41" s="13" t="s">
        <v>65</v>
      </c>
      <c r="B41" s="17" t="s">
        <v>39</v>
      </c>
      <c r="C41" s="15"/>
      <c r="D41" s="16" t="s">
        <v>233</v>
      </c>
    </row>
    <row r="42" spans="1:4" ht="12.75">
      <c r="A42" s="13" t="s">
        <v>66</v>
      </c>
      <c r="B42" s="17" t="s">
        <v>67</v>
      </c>
      <c r="C42" s="15"/>
      <c r="D42" s="16" t="s">
        <v>233</v>
      </c>
    </row>
    <row r="43" spans="1:4" ht="25.5">
      <c r="A43" s="13" t="s">
        <v>68</v>
      </c>
      <c r="B43" s="17" t="s">
        <v>67</v>
      </c>
      <c r="C43" s="15"/>
      <c r="D43" s="16" t="s">
        <v>233</v>
      </c>
    </row>
    <row r="44" spans="1:4" ht="12.75">
      <c r="A44" s="13" t="s">
        <v>70</v>
      </c>
      <c r="B44" s="17" t="s">
        <v>39</v>
      </c>
      <c r="C44" s="15"/>
      <c r="D44" s="16" t="s">
        <v>233</v>
      </c>
    </row>
    <row r="45" spans="1:4" ht="12.75">
      <c r="A45" s="13" t="s">
        <v>72</v>
      </c>
      <c r="B45" s="17" t="s">
        <v>39</v>
      </c>
      <c r="C45" s="15"/>
      <c r="D45" s="16" t="s">
        <v>233</v>
      </c>
    </row>
    <row r="46" spans="1:4" ht="25.5">
      <c r="A46" s="13" t="s">
        <v>73</v>
      </c>
      <c r="B46" s="17" t="s">
        <v>67</v>
      </c>
      <c r="C46" s="15"/>
      <c r="D46" s="16" t="s">
        <v>233</v>
      </c>
    </row>
    <row r="47" spans="1:4" ht="12.75">
      <c r="A47" s="13" t="s">
        <v>74</v>
      </c>
      <c r="B47" s="17" t="s">
        <v>39</v>
      </c>
      <c r="C47" s="15">
        <v>583.7</v>
      </c>
      <c r="D47" s="16" t="s">
        <v>60</v>
      </c>
    </row>
    <row r="48" spans="1:4" ht="12.75" customHeight="1">
      <c r="A48" s="18" t="s">
        <v>75</v>
      </c>
      <c r="B48" s="18"/>
      <c r="C48" s="18"/>
      <c r="D48" s="19"/>
    </row>
    <row r="49" spans="1:4" ht="12.75" customHeight="1">
      <c r="A49" s="20" t="s">
        <v>76</v>
      </c>
      <c r="B49" s="20"/>
      <c r="C49" s="20"/>
      <c r="D49" s="21"/>
    </row>
    <row r="50" spans="1:4" ht="12.75" customHeight="1">
      <c r="A50" s="22" t="s">
        <v>77</v>
      </c>
      <c r="B50" s="22"/>
      <c r="C50" s="22"/>
      <c r="D50" s="23"/>
    </row>
    <row r="51" spans="1:4" ht="25.5" customHeight="1">
      <c r="A51" s="13" t="s">
        <v>78</v>
      </c>
      <c r="B51" s="24" t="s">
        <v>79</v>
      </c>
      <c r="C51" s="24"/>
      <c r="D51" s="13" t="s">
        <v>80</v>
      </c>
    </row>
    <row r="52" spans="1:4" ht="25.5" customHeight="1">
      <c r="A52" s="13" t="s">
        <v>81</v>
      </c>
      <c r="B52" s="24" t="s">
        <v>79</v>
      </c>
      <c r="C52" s="24"/>
      <c r="D52" s="13" t="s">
        <v>80</v>
      </c>
    </row>
    <row r="53" spans="1:4" ht="25.5" customHeight="1">
      <c r="A53" s="13" t="s">
        <v>82</v>
      </c>
      <c r="B53" s="24" t="s">
        <v>79</v>
      </c>
      <c r="C53" s="24"/>
      <c r="D53" s="13" t="s">
        <v>83</v>
      </c>
    </row>
    <row r="54" spans="1:4" ht="25.5" customHeight="1">
      <c r="A54" s="13" t="s">
        <v>84</v>
      </c>
      <c r="B54" s="24" t="s">
        <v>79</v>
      </c>
      <c r="C54" s="24"/>
      <c r="D54" s="13" t="s">
        <v>83</v>
      </c>
    </row>
    <row r="55" spans="1:4" ht="27" customHeight="1">
      <c r="A55" s="13" t="s">
        <v>85</v>
      </c>
      <c r="B55" s="24" t="s">
        <v>79</v>
      </c>
      <c r="C55" s="24"/>
      <c r="D55" s="13" t="s">
        <v>86</v>
      </c>
    </row>
    <row r="56" spans="1:4" ht="28.5" customHeight="1">
      <c r="A56" s="13" t="s">
        <v>87</v>
      </c>
      <c r="B56" s="24" t="s">
        <v>79</v>
      </c>
      <c r="C56" s="24"/>
      <c r="D56" s="13" t="s">
        <v>88</v>
      </c>
    </row>
    <row r="57" spans="1:4" ht="25.5" customHeight="1">
      <c r="A57" s="13" t="s">
        <v>89</v>
      </c>
      <c r="B57" s="24" t="s">
        <v>79</v>
      </c>
      <c r="C57" s="24"/>
      <c r="D57" s="13" t="s">
        <v>40</v>
      </c>
    </row>
    <row r="58" spans="1:4" ht="25.5" customHeight="1">
      <c r="A58" s="13" t="s">
        <v>90</v>
      </c>
      <c r="B58" s="24" t="s">
        <v>79</v>
      </c>
      <c r="C58" s="24"/>
      <c r="D58" s="13" t="s">
        <v>88</v>
      </c>
    </row>
    <row r="59" spans="1:4" ht="25.5" customHeight="1">
      <c r="A59" s="13" t="s">
        <v>91</v>
      </c>
      <c r="B59" s="24" t="s">
        <v>79</v>
      </c>
      <c r="C59" s="24"/>
      <c r="D59" s="13" t="s">
        <v>92</v>
      </c>
    </row>
    <row r="60" spans="1:4" ht="24" customHeight="1">
      <c r="A60" s="13" t="s">
        <v>93</v>
      </c>
      <c r="B60" s="24" t="s">
        <v>79</v>
      </c>
      <c r="C60" s="24"/>
      <c r="D60" s="86" t="s">
        <v>94</v>
      </c>
    </row>
    <row r="61" spans="1:4" ht="12.75" customHeight="1">
      <c r="A61" s="28" t="s">
        <v>95</v>
      </c>
      <c r="B61" s="28"/>
      <c r="C61" s="29"/>
      <c r="D61" s="30"/>
    </row>
    <row r="62" spans="1:4" ht="27.75" customHeight="1">
      <c r="A62" s="13" t="s">
        <v>96</v>
      </c>
      <c r="B62" s="24" t="s">
        <v>79</v>
      </c>
      <c r="C62" s="24"/>
      <c r="D62" s="13" t="s">
        <v>88</v>
      </c>
    </row>
    <row r="63" spans="1:4" ht="25.5" customHeight="1">
      <c r="A63" s="13" t="s">
        <v>97</v>
      </c>
      <c r="B63" s="24" t="s">
        <v>79</v>
      </c>
      <c r="C63" s="24"/>
      <c r="D63" s="13" t="s">
        <v>98</v>
      </c>
    </row>
    <row r="64" spans="1:4" ht="25.5" customHeight="1">
      <c r="A64" s="13" t="s">
        <v>99</v>
      </c>
      <c r="B64" s="24" t="s">
        <v>79</v>
      </c>
      <c r="C64" s="24"/>
      <c r="D64" s="13" t="s">
        <v>100</v>
      </c>
    </row>
    <row r="65" spans="1:4" ht="27.75" customHeight="1">
      <c r="A65" s="13" t="s">
        <v>101</v>
      </c>
      <c r="B65" s="24" t="s">
        <v>79</v>
      </c>
      <c r="C65" s="24"/>
      <c r="D65" s="13" t="s">
        <v>88</v>
      </c>
    </row>
    <row r="66" spans="1:4" ht="26.25" customHeight="1">
      <c r="A66" s="13" t="s">
        <v>102</v>
      </c>
      <c r="B66" s="24" t="s">
        <v>79</v>
      </c>
      <c r="C66" s="24"/>
      <c r="D66" s="13" t="s">
        <v>60</v>
      </c>
    </row>
    <row r="67" spans="1:4" ht="30" customHeight="1">
      <c r="A67" s="13" t="s">
        <v>103</v>
      </c>
      <c r="B67" s="24" t="s">
        <v>79</v>
      </c>
      <c r="C67" s="24"/>
      <c r="D67" s="13" t="s">
        <v>104</v>
      </c>
    </row>
    <row r="68" spans="1:4" ht="25.5" customHeight="1">
      <c r="A68" s="13" t="s">
        <v>105</v>
      </c>
      <c r="B68" s="24" t="s">
        <v>79</v>
      </c>
      <c r="C68" s="24"/>
      <c r="D68" s="13" t="s">
        <v>106</v>
      </c>
    </row>
    <row r="69" spans="1:4" ht="25.5" customHeight="1">
      <c r="A69" s="13" t="s">
        <v>107</v>
      </c>
      <c r="B69" s="24" t="s">
        <v>79</v>
      </c>
      <c r="C69" s="24"/>
      <c r="D69" s="13" t="s">
        <v>108</v>
      </c>
    </row>
    <row r="70" spans="1:4" ht="24.75" customHeight="1">
      <c r="A70" s="13" t="s">
        <v>89</v>
      </c>
      <c r="B70" s="24" t="s">
        <v>79</v>
      </c>
      <c r="C70" s="24"/>
      <c r="D70" s="13" t="s">
        <v>40</v>
      </c>
    </row>
    <row r="71" spans="1:4" ht="25.5" customHeight="1">
      <c r="A71" s="13" t="s">
        <v>109</v>
      </c>
      <c r="B71" s="24" t="s">
        <v>79</v>
      </c>
      <c r="C71" s="24"/>
      <c r="D71" s="13" t="s">
        <v>108</v>
      </c>
    </row>
    <row r="72" spans="1:4" ht="12.75" customHeight="1">
      <c r="A72" s="28" t="s">
        <v>110</v>
      </c>
      <c r="B72" s="28"/>
      <c r="C72" s="31"/>
      <c r="D72" s="30"/>
    </row>
    <row r="73" spans="1:4" ht="27.75" customHeight="1">
      <c r="A73" s="13" t="s">
        <v>111</v>
      </c>
      <c r="B73" s="14" t="s">
        <v>112</v>
      </c>
      <c r="C73" s="15">
        <f>30*1.15*12</f>
        <v>414</v>
      </c>
      <c r="D73" s="74" t="s">
        <v>69</v>
      </c>
    </row>
    <row r="74" spans="1:4" ht="12.75">
      <c r="A74" s="13" t="s">
        <v>113</v>
      </c>
      <c r="B74" s="33" t="s">
        <v>112</v>
      </c>
      <c r="C74" s="15">
        <f>0.75*2*2*51</f>
        <v>153</v>
      </c>
      <c r="D74" s="74" t="s">
        <v>114</v>
      </c>
    </row>
    <row r="75" spans="1:4" ht="12.75">
      <c r="A75" s="13" t="s">
        <v>115</v>
      </c>
      <c r="B75" s="14" t="s">
        <v>67</v>
      </c>
      <c r="C75" s="15">
        <v>5</v>
      </c>
      <c r="D75" s="74" t="s">
        <v>116</v>
      </c>
    </row>
    <row r="76" spans="1:4" ht="12.75" customHeight="1">
      <c r="A76" s="18" t="s">
        <v>117</v>
      </c>
      <c r="B76" s="18"/>
      <c r="C76" s="34"/>
      <c r="D76" s="19"/>
    </row>
    <row r="77" spans="1:4" ht="12.75">
      <c r="A77" s="35" t="s">
        <v>118</v>
      </c>
      <c r="B77" s="36"/>
      <c r="C77" s="37"/>
      <c r="D77" s="38"/>
    </row>
    <row r="78" spans="1:4" ht="12.75">
      <c r="A78" s="39" t="s">
        <v>393</v>
      </c>
      <c r="B78" s="40" t="s">
        <v>39</v>
      </c>
      <c r="C78" s="41">
        <v>9</v>
      </c>
      <c r="D78" s="92"/>
    </row>
    <row r="79" spans="1:4" ht="12.75">
      <c r="A79" s="39" t="s">
        <v>413</v>
      </c>
      <c r="B79" s="40" t="s">
        <v>67</v>
      </c>
      <c r="C79" s="41">
        <v>6</v>
      </c>
      <c r="D79" s="92"/>
    </row>
    <row r="80" spans="1:4" ht="12.75">
      <c r="A80" s="35" t="s">
        <v>235</v>
      </c>
      <c r="B80" s="36"/>
      <c r="C80" s="36"/>
      <c r="D80" s="38"/>
    </row>
    <row r="81" spans="1:4" ht="12.75">
      <c r="A81" s="39" t="s">
        <v>252</v>
      </c>
      <c r="B81" s="40" t="s">
        <v>39</v>
      </c>
      <c r="C81" s="41">
        <v>20</v>
      </c>
      <c r="D81" s="92"/>
    </row>
    <row r="82" spans="1:4" ht="12.75">
      <c r="A82" s="39" t="s">
        <v>414</v>
      </c>
      <c r="B82" s="40" t="s">
        <v>39</v>
      </c>
      <c r="C82" s="40">
        <v>20</v>
      </c>
      <c r="D82" s="92"/>
    </row>
    <row r="83" spans="1:4" ht="12.75">
      <c r="A83" s="88" t="s">
        <v>386</v>
      </c>
      <c r="B83" s="40" t="s">
        <v>39</v>
      </c>
      <c r="C83" s="41">
        <f>0.6+0.5</f>
        <v>1.1</v>
      </c>
      <c r="D83" s="92"/>
    </row>
    <row r="84" spans="1:4" ht="12.75">
      <c r="A84" s="88" t="s">
        <v>415</v>
      </c>
      <c r="B84" s="40" t="s">
        <v>67</v>
      </c>
      <c r="C84" s="41">
        <f>2</f>
        <v>2</v>
      </c>
      <c r="D84" s="92"/>
    </row>
    <row r="85" spans="1:4" ht="12.75">
      <c r="A85" s="35" t="s">
        <v>126</v>
      </c>
      <c r="B85" s="36"/>
      <c r="C85" s="36"/>
      <c r="D85" s="38"/>
    </row>
    <row r="86" spans="1:4" ht="12.75">
      <c r="A86" s="43" t="s">
        <v>128</v>
      </c>
      <c r="B86" s="46" t="s">
        <v>67</v>
      </c>
      <c r="C86" s="41">
        <f>1+1</f>
        <v>2</v>
      </c>
      <c r="D86" s="92"/>
    </row>
    <row r="87" spans="1:4" ht="12.75">
      <c r="A87" s="43" t="s">
        <v>129</v>
      </c>
      <c r="B87" s="40" t="s">
        <v>67</v>
      </c>
      <c r="C87" s="41">
        <f>2+4+1+1</f>
        <v>8</v>
      </c>
      <c r="D87" s="92"/>
    </row>
    <row r="88" spans="1:4" ht="12.75">
      <c r="A88" s="43" t="s">
        <v>416</v>
      </c>
      <c r="B88" s="40" t="s">
        <v>67</v>
      </c>
      <c r="C88" s="41">
        <f>1</f>
        <v>1</v>
      </c>
      <c r="D88" s="92"/>
    </row>
    <row r="89" spans="1:4" ht="12.75">
      <c r="A89" s="43" t="s">
        <v>397</v>
      </c>
      <c r="B89" s="40" t="s">
        <v>39</v>
      </c>
      <c r="C89" s="41">
        <f>1</f>
        <v>1</v>
      </c>
      <c r="D89" s="92"/>
    </row>
    <row r="90" spans="1:4" ht="12.75">
      <c r="A90" s="43" t="s">
        <v>254</v>
      </c>
      <c r="B90" s="40" t="s">
        <v>67</v>
      </c>
      <c r="C90" s="41">
        <v>2</v>
      </c>
      <c r="D90" s="92"/>
    </row>
    <row r="91" spans="1:4" ht="12.75">
      <c r="A91" s="43" t="s">
        <v>134</v>
      </c>
      <c r="B91" s="40" t="s">
        <v>39</v>
      </c>
      <c r="C91" s="40">
        <f>0.6+0.3</f>
        <v>0.8999999999999999</v>
      </c>
      <c r="D91" s="92"/>
    </row>
    <row r="92" spans="1:4" ht="12.75">
      <c r="A92" s="43" t="s">
        <v>370</v>
      </c>
      <c r="B92" s="40" t="s">
        <v>67</v>
      </c>
      <c r="C92" s="40">
        <v>2</v>
      </c>
      <c r="D92" s="92"/>
    </row>
    <row r="93" spans="1:4" ht="12.75">
      <c r="A93" s="35" t="s">
        <v>238</v>
      </c>
      <c r="B93" s="36"/>
      <c r="C93" s="36"/>
      <c r="D93" s="38"/>
    </row>
    <row r="94" spans="1:4" ht="12.75">
      <c r="A94" s="43" t="s">
        <v>395</v>
      </c>
      <c r="B94" s="40" t="s">
        <v>39</v>
      </c>
      <c r="C94" s="40">
        <f>13</f>
        <v>13</v>
      </c>
      <c r="D94" s="92"/>
    </row>
    <row r="95" spans="1:4" ht="12.75">
      <c r="A95" s="35" t="s">
        <v>213</v>
      </c>
      <c r="B95" s="36"/>
      <c r="C95" s="36"/>
      <c r="D95" s="38"/>
    </row>
    <row r="96" spans="1:4" ht="12.75">
      <c r="A96" s="80" t="s">
        <v>241</v>
      </c>
      <c r="B96" s="41" t="s">
        <v>67</v>
      </c>
      <c r="C96" s="41">
        <f>1+1+1</f>
        <v>3</v>
      </c>
      <c r="D96" s="92"/>
    </row>
    <row r="97" spans="1:4" ht="12.75">
      <c r="A97" s="80" t="s">
        <v>396</v>
      </c>
      <c r="B97" s="41" t="s">
        <v>67</v>
      </c>
      <c r="C97" s="41">
        <f>2</f>
        <v>2</v>
      </c>
      <c r="D97" s="92"/>
    </row>
    <row r="98" spans="1:4" ht="12.75">
      <c r="A98" s="80" t="s">
        <v>397</v>
      </c>
      <c r="B98" s="41" t="s">
        <v>39</v>
      </c>
      <c r="C98" s="41">
        <f>1</f>
        <v>1</v>
      </c>
      <c r="D98" s="92"/>
    </row>
    <row r="99" spans="1:4" ht="12.75">
      <c r="A99" s="49" t="s">
        <v>141</v>
      </c>
      <c r="B99" s="36"/>
      <c r="C99" s="50"/>
      <c r="D99" s="38"/>
    </row>
    <row r="100" spans="1:4" ht="12.75">
      <c r="A100" s="51" t="s">
        <v>398</v>
      </c>
      <c r="B100" s="41" t="s">
        <v>67</v>
      </c>
      <c r="C100" s="41">
        <v>2</v>
      </c>
      <c r="D100" s="42"/>
    </row>
    <row r="101" spans="1:4" ht="12.75">
      <c r="A101" s="51" t="s">
        <v>142</v>
      </c>
      <c r="B101" s="41" t="s">
        <v>67</v>
      </c>
      <c r="C101" s="41">
        <f>1+1+1</f>
        <v>3</v>
      </c>
      <c r="D101" s="42"/>
    </row>
    <row r="102" spans="1:4" ht="12.75">
      <c r="A102" s="51" t="s">
        <v>399</v>
      </c>
      <c r="B102" s="41" t="s">
        <v>39</v>
      </c>
      <c r="C102" s="41">
        <f>1.5+1</f>
        <v>2.5</v>
      </c>
      <c r="D102" s="42"/>
    </row>
    <row r="103" spans="1:4" ht="12.75">
      <c r="A103" s="51" t="s">
        <v>417</v>
      </c>
      <c r="B103" s="40" t="s">
        <v>39</v>
      </c>
      <c r="C103" s="41">
        <v>0.7</v>
      </c>
      <c r="D103" s="42"/>
    </row>
    <row r="104" spans="1:4" ht="12.75">
      <c r="A104" s="49" t="s">
        <v>145</v>
      </c>
      <c r="B104" s="36"/>
      <c r="C104" s="36"/>
      <c r="D104" s="45"/>
    </row>
    <row r="105" spans="1:4" s="1" customFormat="1" ht="12.75">
      <c r="A105" s="80" t="s">
        <v>151</v>
      </c>
      <c r="B105" s="41" t="s">
        <v>39</v>
      </c>
      <c r="C105" s="41">
        <v>70</v>
      </c>
      <c r="D105" s="68" t="s">
        <v>130</v>
      </c>
    </row>
    <row r="106" spans="1:4" s="1" customFormat="1" ht="12.75">
      <c r="A106" s="80" t="s">
        <v>155</v>
      </c>
      <c r="B106" s="41" t="s">
        <v>112</v>
      </c>
      <c r="C106" s="41">
        <v>2</v>
      </c>
      <c r="D106" s="68" t="s">
        <v>418</v>
      </c>
    </row>
    <row r="107" spans="1:4" ht="12.75">
      <c r="A107" s="49" t="s">
        <v>157</v>
      </c>
      <c r="B107" s="36"/>
      <c r="C107" s="36"/>
      <c r="D107" s="45"/>
    </row>
    <row r="108" spans="1:4" s="1" customFormat="1" ht="12.75">
      <c r="A108" s="80" t="s">
        <v>400</v>
      </c>
      <c r="B108" s="41" t="s">
        <v>39</v>
      </c>
      <c r="C108" s="41">
        <v>138</v>
      </c>
      <c r="D108" s="68" t="s">
        <v>130</v>
      </c>
    </row>
    <row r="109" spans="1:4" ht="12.75">
      <c r="A109" s="35" t="s">
        <v>161</v>
      </c>
      <c r="B109" s="36"/>
      <c r="C109" s="60"/>
      <c r="D109" s="45"/>
    </row>
    <row r="110" spans="1:4" ht="12.75">
      <c r="A110" s="54" t="s">
        <v>162</v>
      </c>
      <c r="B110" s="58" t="s">
        <v>401</v>
      </c>
      <c r="C110" s="56">
        <v>1</v>
      </c>
      <c r="D110" s="68" t="s">
        <v>44</v>
      </c>
    </row>
    <row r="111" spans="1:4" ht="12.75">
      <c r="A111" s="54" t="s">
        <v>163</v>
      </c>
      <c r="B111" s="58" t="s">
        <v>401</v>
      </c>
      <c r="C111" s="56">
        <v>1</v>
      </c>
      <c r="D111" s="89" t="s">
        <v>164</v>
      </c>
    </row>
    <row r="112" spans="1:4" ht="12.75">
      <c r="A112" s="49" t="s">
        <v>165</v>
      </c>
      <c r="B112" s="36"/>
      <c r="C112" s="60"/>
      <c r="D112" s="45"/>
    </row>
    <row r="113" spans="1:4" ht="12.75">
      <c r="A113" s="54" t="s">
        <v>162</v>
      </c>
      <c r="B113" s="58" t="s">
        <v>401</v>
      </c>
      <c r="C113" s="56">
        <v>1</v>
      </c>
      <c r="D113" s="68" t="s">
        <v>44</v>
      </c>
    </row>
    <row r="114" spans="1:4" ht="12.75">
      <c r="A114" s="54" t="s">
        <v>163</v>
      </c>
      <c r="B114" s="58" t="s">
        <v>401</v>
      </c>
      <c r="C114" s="56">
        <v>1</v>
      </c>
      <c r="D114" s="89" t="s">
        <v>164</v>
      </c>
    </row>
    <row r="115" spans="1:4" ht="12.75">
      <c r="A115" s="35" t="s">
        <v>166</v>
      </c>
      <c r="B115" s="36"/>
      <c r="C115" s="60"/>
      <c r="D115" s="45"/>
    </row>
    <row r="116" spans="1:4" ht="12.75">
      <c r="A116" s="54" t="s">
        <v>162</v>
      </c>
      <c r="B116" s="58" t="s">
        <v>39</v>
      </c>
      <c r="C116" s="56">
        <f>36.7+154.7</f>
        <v>191.39999999999998</v>
      </c>
      <c r="D116" s="47" t="s">
        <v>175</v>
      </c>
    </row>
    <row r="117" spans="1:4" ht="12.75">
      <c r="A117" s="54" t="s">
        <v>163</v>
      </c>
      <c r="B117" s="58" t="s">
        <v>39</v>
      </c>
      <c r="C117" s="56">
        <f>36.7+154.7</f>
        <v>191.39999999999998</v>
      </c>
      <c r="D117" s="89" t="s">
        <v>164</v>
      </c>
    </row>
    <row r="121" ht="12.75">
      <c r="A121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4:C24"/>
    <mergeCell ref="A48:C48"/>
    <mergeCell ref="A49:C49"/>
    <mergeCell ref="A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B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72:B72"/>
    <mergeCell ref="A76:B76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</sheetPr>
  <dimension ref="A1:D115"/>
  <sheetViews>
    <sheetView workbookViewId="0" topLeftCell="A88">
      <selection activeCell="A115" sqref="A115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419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420</v>
      </c>
    </row>
    <row r="8" spans="1:3" ht="12.75">
      <c r="A8" s="1" t="s">
        <v>7</v>
      </c>
      <c r="C8" s="4" t="s">
        <v>421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" t="s">
        <v>422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25</v>
      </c>
      <c r="B17" s="1" t="s">
        <v>26</v>
      </c>
      <c r="C17" s="7"/>
    </row>
    <row r="18" spans="1:3" ht="12.75">
      <c r="A18" s="1" t="s">
        <v>27</v>
      </c>
      <c r="B18" s="1" t="s">
        <v>28</v>
      </c>
      <c r="C18" s="7"/>
    </row>
    <row r="19" spans="1:3" ht="12.75">
      <c r="A19" s="1" t="s">
        <v>29</v>
      </c>
      <c r="C19" s="7"/>
    </row>
    <row r="20" spans="1:3" ht="12.75">
      <c r="A20" s="1" t="s">
        <v>30</v>
      </c>
      <c r="B20" s="1" t="s">
        <v>31</v>
      </c>
      <c r="C20" s="7"/>
    </row>
    <row r="21" ht="12.75">
      <c r="C21" s="83"/>
    </row>
    <row r="22" spans="1:3" ht="12.75">
      <c r="A22" s="1" t="s">
        <v>32</v>
      </c>
      <c r="C22" s="9">
        <v>0.9001</v>
      </c>
    </row>
    <row r="23" spans="1:3" ht="12.75">
      <c r="A23" s="72"/>
      <c r="C23" s="7"/>
    </row>
    <row r="24" spans="1:3" ht="12.75" customHeight="1">
      <c r="A24" s="10" t="s">
        <v>33</v>
      </c>
      <c r="B24" s="10"/>
      <c r="C24" s="10"/>
    </row>
    <row r="26" spans="1:4" ht="12.75">
      <c r="A26" s="11" t="s">
        <v>34</v>
      </c>
      <c r="B26" s="11" t="s">
        <v>35</v>
      </c>
      <c r="C26" s="11" t="s">
        <v>36</v>
      </c>
      <c r="D26" s="12" t="s">
        <v>37</v>
      </c>
    </row>
    <row r="27" spans="1:4" ht="12.75">
      <c r="A27" s="13" t="s">
        <v>38</v>
      </c>
      <c r="B27" s="14" t="s">
        <v>39</v>
      </c>
      <c r="C27" s="15">
        <v>136.1</v>
      </c>
      <c r="D27" s="16" t="s">
        <v>40</v>
      </c>
    </row>
    <row r="28" spans="1:4" ht="12.75">
      <c r="A28" s="13" t="s">
        <v>41</v>
      </c>
      <c r="B28" s="14" t="s">
        <v>39</v>
      </c>
      <c r="C28" s="15">
        <v>136.1</v>
      </c>
      <c r="D28" s="16" t="s">
        <v>42</v>
      </c>
    </row>
    <row r="29" spans="1:4" ht="12.75">
      <c r="A29" s="13" t="s">
        <v>43</v>
      </c>
      <c r="B29" s="14" t="s">
        <v>39</v>
      </c>
      <c r="C29" s="15">
        <v>694</v>
      </c>
      <c r="D29" s="16" t="s">
        <v>44</v>
      </c>
    </row>
    <row r="30" spans="1:4" ht="12.75">
      <c r="A30" s="13" t="s">
        <v>45</v>
      </c>
      <c r="B30" s="14" t="s">
        <v>39</v>
      </c>
      <c r="C30" s="15">
        <v>1</v>
      </c>
      <c r="D30" s="16" t="s">
        <v>46</v>
      </c>
    </row>
    <row r="31" spans="1:4" ht="12.75">
      <c r="A31" s="13" t="s">
        <v>47</v>
      </c>
      <c r="B31" s="17" t="s">
        <v>39</v>
      </c>
      <c r="C31" s="15">
        <v>1.8</v>
      </c>
      <c r="D31" s="16" t="s">
        <v>48</v>
      </c>
    </row>
    <row r="32" spans="1:4" ht="12.75">
      <c r="A32" s="13" t="s">
        <v>49</v>
      </c>
      <c r="B32" s="17" t="s">
        <v>50</v>
      </c>
      <c r="C32" s="15">
        <v>136.1</v>
      </c>
      <c r="D32" s="16" t="s">
        <v>51</v>
      </c>
    </row>
    <row r="33" spans="1:4" ht="12.75">
      <c r="A33" s="13" t="s">
        <v>52</v>
      </c>
      <c r="B33" s="17" t="s">
        <v>39</v>
      </c>
      <c r="C33" s="15">
        <v>204.15</v>
      </c>
      <c r="D33" s="16" t="s">
        <v>53</v>
      </c>
    </row>
    <row r="34" spans="1:4" ht="12.75">
      <c r="A34" s="13" t="s">
        <v>54</v>
      </c>
      <c r="B34" s="17" t="s">
        <v>39</v>
      </c>
      <c r="C34" s="15"/>
      <c r="D34" s="16" t="s">
        <v>233</v>
      </c>
    </row>
    <row r="35" spans="1:4" ht="12.75">
      <c r="A35" s="13" t="s">
        <v>56</v>
      </c>
      <c r="B35" s="17" t="s">
        <v>39</v>
      </c>
      <c r="C35" s="15"/>
      <c r="D35" s="16" t="s">
        <v>233</v>
      </c>
    </row>
    <row r="36" spans="1:4" ht="12.75">
      <c r="A36" s="13" t="s">
        <v>59</v>
      </c>
      <c r="B36" s="17" t="s">
        <v>39</v>
      </c>
      <c r="C36" s="15"/>
      <c r="D36" s="16" t="s">
        <v>233</v>
      </c>
    </row>
    <row r="37" spans="1:4" ht="12.75">
      <c r="A37" s="13" t="s">
        <v>61</v>
      </c>
      <c r="B37" s="17" t="s">
        <v>39</v>
      </c>
      <c r="C37" s="15">
        <v>819</v>
      </c>
      <c r="D37" s="16" t="s">
        <v>46</v>
      </c>
    </row>
    <row r="38" spans="1:4" ht="12.75">
      <c r="A38" s="13" t="s">
        <v>62</v>
      </c>
      <c r="B38" s="17" t="s">
        <v>39</v>
      </c>
      <c r="C38" s="73">
        <v>136.1</v>
      </c>
      <c r="D38" s="16" t="s">
        <v>53</v>
      </c>
    </row>
    <row r="39" spans="1:4" ht="12.75">
      <c r="A39" s="13" t="s">
        <v>63</v>
      </c>
      <c r="B39" s="17" t="s">
        <v>39</v>
      </c>
      <c r="C39" s="15"/>
      <c r="D39" s="16" t="s">
        <v>233</v>
      </c>
    </row>
    <row r="40" spans="1:4" ht="12.75">
      <c r="A40" s="13" t="s">
        <v>64</v>
      </c>
      <c r="B40" s="17" t="s">
        <v>39</v>
      </c>
      <c r="C40" s="15"/>
      <c r="D40" s="16" t="s">
        <v>233</v>
      </c>
    </row>
    <row r="41" spans="1:4" ht="12.75">
      <c r="A41" s="13" t="s">
        <v>65</v>
      </c>
      <c r="B41" s="17" t="s">
        <v>39</v>
      </c>
      <c r="C41" s="15"/>
      <c r="D41" s="16" t="s">
        <v>233</v>
      </c>
    </row>
    <row r="42" spans="1:4" ht="12.75">
      <c r="A42" s="13" t="s">
        <v>66</v>
      </c>
      <c r="B42" s="17" t="s">
        <v>67</v>
      </c>
      <c r="C42" s="15"/>
      <c r="D42" s="16" t="s">
        <v>233</v>
      </c>
    </row>
    <row r="43" spans="1:4" ht="12.75">
      <c r="A43" s="13" t="s">
        <v>68</v>
      </c>
      <c r="B43" s="17" t="s">
        <v>67</v>
      </c>
      <c r="C43" s="15"/>
      <c r="D43" s="16" t="s">
        <v>233</v>
      </c>
    </row>
    <row r="44" spans="1:4" ht="12.75">
      <c r="A44" s="13" t="s">
        <v>70</v>
      </c>
      <c r="B44" s="17" t="s">
        <v>39</v>
      </c>
      <c r="C44" s="15"/>
      <c r="D44" s="16" t="s">
        <v>233</v>
      </c>
    </row>
    <row r="45" spans="1:4" ht="12.75">
      <c r="A45" s="13" t="s">
        <v>72</v>
      </c>
      <c r="B45" s="17" t="s">
        <v>39</v>
      </c>
      <c r="C45" s="15"/>
      <c r="D45" s="16" t="s">
        <v>233</v>
      </c>
    </row>
    <row r="46" spans="1:4" ht="25.5">
      <c r="A46" s="13" t="s">
        <v>73</v>
      </c>
      <c r="B46" s="17" t="s">
        <v>67</v>
      </c>
      <c r="C46" s="15"/>
      <c r="D46" s="16" t="s">
        <v>233</v>
      </c>
    </row>
    <row r="47" spans="1:4" ht="12.75">
      <c r="A47" s="13" t="s">
        <v>74</v>
      </c>
      <c r="B47" s="17" t="s">
        <v>39</v>
      </c>
      <c r="C47" s="15">
        <v>594</v>
      </c>
      <c r="D47" s="16" t="s">
        <v>60</v>
      </c>
    </row>
    <row r="48" spans="1:4" ht="12.75" customHeight="1">
      <c r="A48" s="18" t="s">
        <v>75</v>
      </c>
      <c r="B48" s="18"/>
      <c r="C48" s="18"/>
      <c r="D48" s="19"/>
    </row>
    <row r="49" spans="1:4" ht="12.75" customHeight="1">
      <c r="A49" s="20" t="s">
        <v>76</v>
      </c>
      <c r="B49" s="20"/>
      <c r="C49" s="20"/>
      <c r="D49" s="21"/>
    </row>
    <row r="50" spans="1:4" ht="12.75" customHeight="1">
      <c r="A50" s="22" t="s">
        <v>77</v>
      </c>
      <c r="B50" s="22"/>
      <c r="C50" s="22"/>
      <c r="D50" s="23"/>
    </row>
    <row r="51" spans="1:4" ht="25.5" customHeight="1">
      <c r="A51" s="13" t="s">
        <v>78</v>
      </c>
      <c r="B51" s="24" t="s">
        <v>79</v>
      </c>
      <c r="C51" s="24"/>
      <c r="D51" s="13" t="s">
        <v>80</v>
      </c>
    </row>
    <row r="52" spans="1:4" ht="25.5" customHeight="1">
      <c r="A52" s="13" t="s">
        <v>81</v>
      </c>
      <c r="B52" s="24" t="s">
        <v>79</v>
      </c>
      <c r="C52" s="24"/>
      <c r="D52" s="13" t="s">
        <v>80</v>
      </c>
    </row>
    <row r="53" spans="1:4" ht="25.5" customHeight="1">
      <c r="A53" s="13" t="s">
        <v>82</v>
      </c>
      <c r="B53" s="24" t="s">
        <v>79</v>
      </c>
      <c r="C53" s="24"/>
      <c r="D53" s="13" t="s">
        <v>83</v>
      </c>
    </row>
    <row r="54" spans="1:4" ht="25.5" customHeight="1">
      <c r="A54" s="13" t="s">
        <v>84</v>
      </c>
      <c r="B54" s="24" t="s">
        <v>79</v>
      </c>
      <c r="C54" s="24"/>
      <c r="D54" s="13" t="s">
        <v>83</v>
      </c>
    </row>
    <row r="55" spans="1:4" ht="25.5" customHeight="1">
      <c r="A55" s="13" t="s">
        <v>85</v>
      </c>
      <c r="B55" s="24" t="s">
        <v>79</v>
      </c>
      <c r="C55" s="24"/>
      <c r="D55" s="13" t="s">
        <v>86</v>
      </c>
    </row>
    <row r="56" spans="1:4" ht="30" customHeight="1">
      <c r="A56" s="13" t="s">
        <v>87</v>
      </c>
      <c r="B56" s="24" t="s">
        <v>79</v>
      </c>
      <c r="C56" s="24"/>
      <c r="D56" s="13" t="s">
        <v>88</v>
      </c>
    </row>
    <row r="57" spans="1:4" ht="25.5" customHeight="1">
      <c r="A57" s="13" t="s">
        <v>89</v>
      </c>
      <c r="B57" s="24" t="s">
        <v>79</v>
      </c>
      <c r="C57" s="24"/>
      <c r="D57" s="13" t="s">
        <v>40</v>
      </c>
    </row>
    <row r="58" spans="1:4" ht="25.5" customHeight="1">
      <c r="A58" s="13" t="s">
        <v>90</v>
      </c>
      <c r="B58" s="24" t="s">
        <v>79</v>
      </c>
      <c r="C58" s="24"/>
      <c r="D58" s="13" t="s">
        <v>88</v>
      </c>
    </row>
    <row r="59" spans="1:4" ht="25.5" customHeight="1">
      <c r="A59" s="13" t="s">
        <v>91</v>
      </c>
      <c r="B59" s="24" t="s">
        <v>79</v>
      </c>
      <c r="C59" s="24"/>
      <c r="D59" s="13" t="s">
        <v>92</v>
      </c>
    </row>
    <row r="60" spans="1:4" ht="28.5" customHeight="1">
      <c r="A60" s="13" t="s">
        <v>93</v>
      </c>
      <c r="B60" s="24" t="s">
        <v>79</v>
      </c>
      <c r="C60" s="24"/>
      <c r="D60" s="86" t="s">
        <v>94</v>
      </c>
    </row>
    <row r="61" spans="1:4" ht="12.75" customHeight="1">
      <c r="A61" s="28" t="s">
        <v>95</v>
      </c>
      <c r="B61" s="28"/>
      <c r="C61" s="29"/>
      <c r="D61" s="30"/>
    </row>
    <row r="62" spans="1:4" ht="27.75" customHeight="1">
      <c r="A62" s="13" t="s">
        <v>96</v>
      </c>
      <c r="B62" s="24" t="s">
        <v>79</v>
      </c>
      <c r="C62" s="24"/>
      <c r="D62" s="13" t="s">
        <v>88</v>
      </c>
    </row>
    <row r="63" spans="1:4" ht="25.5" customHeight="1">
      <c r="A63" s="13" t="s">
        <v>97</v>
      </c>
      <c r="B63" s="24" t="s">
        <v>79</v>
      </c>
      <c r="C63" s="24"/>
      <c r="D63" s="13" t="s">
        <v>98</v>
      </c>
    </row>
    <row r="64" spans="1:4" ht="25.5" customHeight="1">
      <c r="A64" s="13" t="s">
        <v>99</v>
      </c>
      <c r="B64" s="24" t="s">
        <v>79</v>
      </c>
      <c r="C64" s="24"/>
      <c r="D64" s="13" t="s">
        <v>100</v>
      </c>
    </row>
    <row r="65" spans="1:4" ht="27.75" customHeight="1">
      <c r="A65" s="13" t="s">
        <v>101</v>
      </c>
      <c r="B65" s="24" t="s">
        <v>79</v>
      </c>
      <c r="C65" s="24"/>
      <c r="D65" s="13" t="s">
        <v>88</v>
      </c>
    </row>
    <row r="66" spans="1:4" ht="26.25" customHeight="1">
      <c r="A66" s="13" t="s">
        <v>102</v>
      </c>
      <c r="B66" s="24" t="s">
        <v>79</v>
      </c>
      <c r="C66" s="24"/>
      <c r="D66" s="13" t="s">
        <v>60</v>
      </c>
    </row>
    <row r="67" spans="1:4" ht="30" customHeight="1">
      <c r="A67" s="13" t="s">
        <v>103</v>
      </c>
      <c r="B67" s="24" t="s">
        <v>79</v>
      </c>
      <c r="C67" s="24"/>
      <c r="D67" s="13" t="s">
        <v>104</v>
      </c>
    </row>
    <row r="68" spans="1:4" ht="25.5" customHeight="1">
      <c r="A68" s="13" t="s">
        <v>105</v>
      </c>
      <c r="B68" s="24" t="s">
        <v>79</v>
      </c>
      <c r="C68" s="24"/>
      <c r="D68" s="13" t="s">
        <v>106</v>
      </c>
    </row>
    <row r="69" spans="1:4" ht="25.5" customHeight="1">
      <c r="A69" s="13" t="s">
        <v>107</v>
      </c>
      <c r="B69" s="24" t="s">
        <v>79</v>
      </c>
      <c r="C69" s="24"/>
      <c r="D69" s="13" t="s">
        <v>108</v>
      </c>
    </row>
    <row r="70" spans="1:4" ht="24.75" customHeight="1">
      <c r="A70" s="13" t="s">
        <v>89</v>
      </c>
      <c r="B70" s="24" t="s">
        <v>79</v>
      </c>
      <c r="C70" s="24"/>
      <c r="D70" s="13" t="s">
        <v>40</v>
      </c>
    </row>
    <row r="71" spans="1:4" ht="25.5" customHeight="1">
      <c r="A71" s="13" t="s">
        <v>109</v>
      </c>
      <c r="B71" s="24" t="s">
        <v>79</v>
      </c>
      <c r="C71" s="24"/>
      <c r="D71" s="13" t="s">
        <v>108</v>
      </c>
    </row>
    <row r="72" spans="1:4" ht="12.75" customHeight="1">
      <c r="A72" s="28" t="s">
        <v>110</v>
      </c>
      <c r="B72" s="28"/>
      <c r="C72" s="31"/>
      <c r="D72" s="30"/>
    </row>
    <row r="73" spans="1:4" ht="27.75" customHeight="1">
      <c r="A73" s="13" t="s">
        <v>111</v>
      </c>
      <c r="B73" s="14" t="s">
        <v>112</v>
      </c>
      <c r="C73" s="15">
        <f>43*1.15*12</f>
        <v>593.4</v>
      </c>
      <c r="D73" s="74" t="s">
        <v>69</v>
      </c>
    </row>
    <row r="74" spans="1:4" ht="12.75">
      <c r="A74" s="13" t="s">
        <v>113</v>
      </c>
      <c r="B74" s="33" t="s">
        <v>112</v>
      </c>
      <c r="C74" s="15">
        <f>0.75*2*2*51</f>
        <v>153</v>
      </c>
      <c r="D74" s="74" t="s">
        <v>114</v>
      </c>
    </row>
    <row r="75" spans="1:4" ht="25.5">
      <c r="A75" s="13" t="s">
        <v>115</v>
      </c>
      <c r="B75" s="14" t="s">
        <v>67</v>
      </c>
      <c r="C75" s="15">
        <v>3</v>
      </c>
      <c r="D75" s="74" t="s">
        <v>116</v>
      </c>
    </row>
    <row r="76" spans="1:4" ht="12.75" customHeight="1">
      <c r="A76" s="18" t="s">
        <v>117</v>
      </c>
      <c r="B76" s="18"/>
      <c r="C76" s="34"/>
      <c r="D76" s="19"/>
    </row>
    <row r="77" spans="1:4" ht="12.75">
      <c r="A77" s="35" t="s">
        <v>118</v>
      </c>
      <c r="B77" s="36"/>
      <c r="C77" s="37"/>
      <c r="D77" s="38"/>
    </row>
    <row r="78" spans="1:4" ht="12.75">
      <c r="A78" s="39" t="s">
        <v>393</v>
      </c>
      <c r="B78" s="40" t="s">
        <v>39</v>
      </c>
      <c r="C78" s="41">
        <f>19.7</f>
        <v>19.7</v>
      </c>
      <c r="D78" s="42"/>
    </row>
    <row r="79" spans="1:4" ht="12.75">
      <c r="A79" s="39" t="s">
        <v>413</v>
      </c>
      <c r="B79" s="40" t="s">
        <v>67</v>
      </c>
      <c r="C79" s="41">
        <v>6</v>
      </c>
      <c r="D79" s="42"/>
    </row>
    <row r="80" spans="1:4" ht="12.75">
      <c r="A80" s="35" t="s">
        <v>235</v>
      </c>
      <c r="B80" s="36"/>
      <c r="C80" s="36"/>
      <c r="D80" s="45"/>
    </row>
    <row r="81" spans="1:4" ht="12.75">
      <c r="A81" s="88" t="s">
        <v>325</v>
      </c>
      <c r="B81" s="40" t="s">
        <v>67</v>
      </c>
      <c r="C81" s="41">
        <v>2</v>
      </c>
      <c r="D81" s="42"/>
    </row>
    <row r="82" spans="1:4" ht="12.75">
      <c r="A82" s="35" t="s">
        <v>126</v>
      </c>
      <c r="B82" s="36"/>
      <c r="C82" s="36"/>
      <c r="D82" s="45"/>
    </row>
    <row r="83" spans="1:4" ht="12.75">
      <c r="A83" s="43" t="s">
        <v>128</v>
      </c>
      <c r="B83" s="46" t="s">
        <v>67</v>
      </c>
      <c r="C83" s="41">
        <f>2</f>
        <v>2</v>
      </c>
      <c r="D83" s="42"/>
    </row>
    <row r="84" spans="1:4" s="1" customFormat="1" ht="12.75">
      <c r="A84" s="43" t="s">
        <v>129</v>
      </c>
      <c r="B84" s="41" t="s">
        <v>67</v>
      </c>
      <c r="C84" s="41">
        <v>4</v>
      </c>
      <c r="D84" s="68" t="s">
        <v>130</v>
      </c>
    </row>
    <row r="85" spans="1:4" ht="12.75">
      <c r="A85" s="43" t="s">
        <v>254</v>
      </c>
      <c r="B85" s="40" t="s">
        <v>67</v>
      </c>
      <c r="C85" s="41">
        <f>2</f>
        <v>2</v>
      </c>
      <c r="D85" s="42"/>
    </row>
    <row r="86" spans="1:4" ht="12.75">
      <c r="A86" s="43" t="s">
        <v>134</v>
      </c>
      <c r="B86" s="40" t="s">
        <v>39</v>
      </c>
      <c r="C86" s="41">
        <v>1.5</v>
      </c>
      <c r="D86" s="42"/>
    </row>
    <row r="87" spans="1:4" ht="12.75">
      <c r="A87" s="35" t="s">
        <v>213</v>
      </c>
      <c r="B87" s="36"/>
      <c r="C87" s="36"/>
      <c r="D87" s="45"/>
    </row>
    <row r="88" spans="1:4" ht="12.75">
      <c r="A88" s="80" t="s">
        <v>241</v>
      </c>
      <c r="B88" s="41" t="s">
        <v>67</v>
      </c>
      <c r="C88" s="41">
        <f>2</f>
        <v>2</v>
      </c>
      <c r="D88" s="42"/>
    </row>
    <row r="89" spans="1:4" ht="12.75">
      <c r="A89" s="80" t="s">
        <v>396</v>
      </c>
      <c r="B89" s="41" t="s">
        <v>67</v>
      </c>
      <c r="C89" s="41">
        <f>1+1</f>
        <v>2</v>
      </c>
      <c r="D89" s="42"/>
    </row>
    <row r="90" spans="1:4" ht="12.75">
      <c r="A90" s="49" t="s">
        <v>141</v>
      </c>
      <c r="B90" s="36"/>
      <c r="C90" s="50"/>
      <c r="D90" s="45"/>
    </row>
    <row r="91" spans="1:4" ht="12.75">
      <c r="A91" s="51" t="s">
        <v>423</v>
      </c>
      <c r="B91" s="41" t="s">
        <v>67</v>
      </c>
      <c r="C91" s="41">
        <v>2</v>
      </c>
      <c r="D91" s="42"/>
    </row>
    <row r="92" spans="1:4" ht="12.75">
      <c r="A92" s="51" t="s">
        <v>142</v>
      </c>
      <c r="B92" s="41" t="s">
        <v>67</v>
      </c>
      <c r="C92" s="41">
        <v>2</v>
      </c>
      <c r="D92" s="42"/>
    </row>
    <row r="93" spans="1:4" ht="12.75">
      <c r="A93" s="51" t="s">
        <v>424</v>
      </c>
      <c r="B93" s="41" t="s">
        <v>39</v>
      </c>
      <c r="C93" s="41">
        <f>5</f>
        <v>5</v>
      </c>
      <c r="D93" s="42"/>
    </row>
    <row r="94" spans="1:4" ht="12.75">
      <c r="A94" s="49" t="s">
        <v>145</v>
      </c>
      <c r="B94" s="36"/>
      <c r="C94" s="36"/>
      <c r="D94" s="45"/>
    </row>
    <row r="95" spans="1:4" ht="12.75">
      <c r="A95" s="52" t="s">
        <v>149</v>
      </c>
      <c r="B95" s="40" t="s">
        <v>67</v>
      </c>
      <c r="C95" s="40">
        <v>3</v>
      </c>
      <c r="D95" s="42"/>
    </row>
    <row r="96" spans="1:4" ht="12.75">
      <c r="A96" s="52" t="s">
        <v>196</v>
      </c>
      <c r="B96" s="41" t="s">
        <v>67</v>
      </c>
      <c r="C96" s="40">
        <v>4</v>
      </c>
      <c r="D96" s="42"/>
    </row>
    <row r="97" spans="1:4" ht="12.75">
      <c r="A97" s="52" t="s">
        <v>197</v>
      </c>
      <c r="B97" s="41" t="s">
        <v>67</v>
      </c>
      <c r="C97" s="40">
        <v>4</v>
      </c>
      <c r="D97" s="42"/>
    </row>
    <row r="98" spans="1:4" ht="12.75">
      <c r="A98" s="52" t="s">
        <v>199</v>
      </c>
      <c r="B98" s="41" t="s">
        <v>67</v>
      </c>
      <c r="C98" s="40">
        <f>2</f>
        <v>2</v>
      </c>
      <c r="D98" s="42"/>
    </row>
    <row r="99" spans="1:4" ht="12.75">
      <c r="A99" s="51" t="s">
        <v>319</v>
      </c>
      <c r="B99" s="40" t="s">
        <v>67</v>
      </c>
      <c r="C99" s="40">
        <f>1</f>
        <v>1</v>
      </c>
      <c r="D99" s="42"/>
    </row>
    <row r="100" spans="1:4" ht="12.75">
      <c r="A100" s="49" t="s">
        <v>157</v>
      </c>
      <c r="B100" s="36"/>
      <c r="C100" s="36"/>
      <c r="D100" s="45"/>
    </row>
    <row r="101" spans="1:4" s="1" customFormat="1" ht="12.75">
      <c r="A101" s="80" t="s">
        <v>202</v>
      </c>
      <c r="B101" s="41" t="s">
        <v>39</v>
      </c>
      <c r="C101" s="41">
        <v>270</v>
      </c>
      <c r="D101" s="44"/>
    </row>
    <row r="102" spans="1:4" s="1" customFormat="1" ht="12.75">
      <c r="A102" s="80" t="s">
        <v>400</v>
      </c>
      <c r="B102" s="41" t="s">
        <v>39</v>
      </c>
      <c r="C102" s="41">
        <v>138</v>
      </c>
      <c r="D102" s="68" t="s">
        <v>186</v>
      </c>
    </row>
    <row r="103" spans="1:4" s="1" customFormat="1" ht="12.75">
      <c r="A103" s="141" t="s">
        <v>425</v>
      </c>
      <c r="B103" s="142" t="s">
        <v>39</v>
      </c>
      <c r="C103" s="142">
        <v>12.3</v>
      </c>
      <c r="D103" s="143"/>
    </row>
    <row r="104" spans="1:4" ht="12.75">
      <c r="A104" s="131" t="s">
        <v>161</v>
      </c>
      <c r="B104" s="132"/>
      <c r="C104" s="133"/>
      <c r="D104" s="134"/>
    </row>
    <row r="105" spans="1:4" ht="12.75">
      <c r="A105" s="54" t="s">
        <v>162</v>
      </c>
      <c r="B105" s="58" t="s">
        <v>401</v>
      </c>
      <c r="C105" s="56">
        <v>1</v>
      </c>
      <c r="D105" s="68" t="s">
        <v>44</v>
      </c>
    </row>
    <row r="106" spans="1:4" ht="12.75">
      <c r="A106" s="54" t="s">
        <v>163</v>
      </c>
      <c r="B106" s="58" t="s">
        <v>401</v>
      </c>
      <c r="C106" s="56">
        <v>1</v>
      </c>
      <c r="D106" s="89" t="s">
        <v>164</v>
      </c>
    </row>
    <row r="107" spans="1:4" ht="12.75">
      <c r="A107" s="49" t="s">
        <v>165</v>
      </c>
      <c r="B107" s="144"/>
      <c r="C107" s="36"/>
      <c r="D107" s="45"/>
    </row>
    <row r="108" spans="1:4" ht="12.75">
      <c r="A108" s="54" t="s">
        <v>162</v>
      </c>
      <c r="B108" s="58" t="s">
        <v>401</v>
      </c>
      <c r="C108" s="56">
        <v>1</v>
      </c>
      <c r="D108" s="68" t="s">
        <v>44</v>
      </c>
    </row>
    <row r="109" spans="1:4" ht="12.75">
      <c r="A109" s="54" t="s">
        <v>163</v>
      </c>
      <c r="B109" s="58" t="s">
        <v>401</v>
      </c>
      <c r="C109" s="56">
        <v>1</v>
      </c>
      <c r="D109" s="89" t="s">
        <v>164</v>
      </c>
    </row>
    <row r="110" spans="1:4" ht="12.75">
      <c r="A110" s="49" t="s">
        <v>166</v>
      </c>
      <c r="B110" s="144"/>
      <c r="C110" s="36"/>
      <c r="D110" s="45"/>
    </row>
    <row r="111" spans="1:4" ht="12.75">
      <c r="A111" s="54" t="s">
        <v>162</v>
      </c>
      <c r="B111" s="56" t="s">
        <v>39</v>
      </c>
      <c r="C111" s="56">
        <f>48.4+87.7</f>
        <v>136.1</v>
      </c>
      <c r="D111" s="47" t="s">
        <v>175</v>
      </c>
    </row>
    <row r="112" spans="1:4" ht="12.75">
      <c r="A112" s="54" t="s">
        <v>163</v>
      </c>
      <c r="B112" s="56" t="s">
        <v>39</v>
      </c>
      <c r="C112" s="56">
        <f>48.4+87.7</f>
        <v>136.1</v>
      </c>
      <c r="D112" s="89" t="s">
        <v>164</v>
      </c>
    </row>
    <row r="115" ht="12.75">
      <c r="A115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4:C24"/>
    <mergeCell ref="A48:C48"/>
    <mergeCell ref="A49:C49"/>
    <mergeCell ref="A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B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72:B72"/>
    <mergeCell ref="A76:B76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4"/>
  </sheetPr>
  <dimension ref="A1:F110"/>
  <sheetViews>
    <sheetView workbookViewId="0" topLeftCell="A85">
      <selection activeCell="A110" sqref="A110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426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427</v>
      </c>
    </row>
    <row r="8" spans="1:3" ht="12.75">
      <c r="A8" s="1" t="s">
        <v>7</v>
      </c>
      <c r="C8" s="4" t="s">
        <v>428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" t="s">
        <v>429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25</v>
      </c>
      <c r="B17" s="1" t="s">
        <v>26</v>
      </c>
      <c r="C17" s="7"/>
    </row>
    <row r="18" spans="1:3" ht="12.75">
      <c r="A18" s="1" t="s">
        <v>27</v>
      </c>
      <c r="B18" s="1" t="s">
        <v>28</v>
      </c>
      <c r="C18" s="7"/>
    </row>
    <row r="19" spans="1:3" ht="12.75">
      <c r="A19" s="1" t="s">
        <v>29</v>
      </c>
      <c r="C19" s="7"/>
    </row>
    <row r="20" spans="1:3" ht="12.75">
      <c r="A20" s="1" t="s">
        <v>30</v>
      </c>
      <c r="B20" s="1" t="s">
        <v>31</v>
      </c>
      <c r="C20" s="7"/>
    </row>
    <row r="21" ht="12.75">
      <c r="C21" s="83"/>
    </row>
    <row r="22" spans="1:3" ht="12.75">
      <c r="A22" s="1" t="s">
        <v>32</v>
      </c>
      <c r="C22" s="71">
        <v>0.7945</v>
      </c>
    </row>
    <row r="23" spans="1:3" ht="12.75">
      <c r="A23" s="72"/>
      <c r="C23" s="7"/>
    </row>
    <row r="24" spans="1:3" ht="12.75" customHeight="1">
      <c r="A24" s="10" t="s">
        <v>33</v>
      </c>
      <c r="B24" s="10"/>
      <c r="C24" s="10"/>
    </row>
    <row r="26" spans="1:4" ht="12.75">
      <c r="A26" s="11" t="s">
        <v>34</v>
      </c>
      <c r="B26" s="11" t="s">
        <v>35</v>
      </c>
      <c r="C26" s="11" t="s">
        <v>36</v>
      </c>
      <c r="D26" s="12" t="s">
        <v>37</v>
      </c>
    </row>
    <row r="27" spans="1:4" ht="12.75">
      <c r="A27" s="13" t="s">
        <v>38</v>
      </c>
      <c r="B27" s="14" t="s">
        <v>39</v>
      </c>
      <c r="C27" s="15">
        <v>160.8</v>
      </c>
      <c r="D27" s="16" t="s">
        <v>40</v>
      </c>
    </row>
    <row r="28" spans="1:4" ht="12.75">
      <c r="A28" s="13" t="s">
        <v>41</v>
      </c>
      <c r="B28" s="14" t="s">
        <v>39</v>
      </c>
      <c r="C28" s="15">
        <v>160.8</v>
      </c>
      <c r="D28" s="16" t="s">
        <v>42</v>
      </c>
    </row>
    <row r="29" spans="1:4" ht="12.75">
      <c r="A29" s="13" t="s">
        <v>43</v>
      </c>
      <c r="B29" s="14" t="s">
        <v>39</v>
      </c>
      <c r="C29" s="15">
        <v>732</v>
      </c>
      <c r="D29" s="16" t="s">
        <v>44</v>
      </c>
    </row>
    <row r="30" spans="1:4" ht="12.75">
      <c r="A30" s="13" t="s">
        <v>45</v>
      </c>
      <c r="B30" s="14" t="s">
        <v>39</v>
      </c>
      <c r="C30" s="15">
        <v>1</v>
      </c>
      <c r="D30" s="16" t="s">
        <v>46</v>
      </c>
    </row>
    <row r="31" spans="1:4" ht="12.75">
      <c r="A31" s="13" t="s">
        <v>47</v>
      </c>
      <c r="B31" s="17" t="s">
        <v>39</v>
      </c>
      <c r="C31" s="15">
        <v>1.8</v>
      </c>
      <c r="D31" s="16" t="s">
        <v>48</v>
      </c>
    </row>
    <row r="32" spans="1:4" ht="12.75">
      <c r="A32" s="13" t="s">
        <v>49</v>
      </c>
      <c r="B32" s="17" t="s">
        <v>50</v>
      </c>
      <c r="C32" s="73">
        <v>160.8</v>
      </c>
      <c r="D32" s="16" t="s">
        <v>51</v>
      </c>
    </row>
    <row r="33" spans="1:4" ht="12.75">
      <c r="A33" s="13" t="s">
        <v>52</v>
      </c>
      <c r="B33" s="17" t="s">
        <v>39</v>
      </c>
      <c r="C33" s="15">
        <v>241.2</v>
      </c>
      <c r="D33" s="16" t="s">
        <v>53</v>
      </c>
    </row>
    <row r="34" spans="1:4" ht="12.75">
      <c r="A34" s="13" t="s">
        <v>54</v>
      </c>
      <c r="B34" s="17" t="s">
        <v>39</v>
      </c>
      <c r="C34" s="15"/>
      <c r="D34" s="16" t="s">
        <v>233</v>
      </c>
    </row>
    <row r="35" spans="1:4" ht="12.75">
      <c r="A35" s="13" t="s">
        <v>56</v>
      </c>
      <c r="B35" s="17" t="s">
        <v>39</v>
      </c>
      <c r="C35" s="15"/>
      <c r="D35" s="16" t="s">
        <v>233</v>
      </c>
    </row>
    <row r="36" spans="1:4" ht="12.75">
      <c r="A36" s="13" t="s">
        <v>59</v>
      </c>
      <c r="B36" s="17" t="s">
        <v>39</v>
      </c>
      <c r="C36" s="15"/>
      <c r="D36" s="16" t="s">
        <v>233</v>
      </c>
    </row>
    <row r="37" spans="1:4" ht="12.75">
      <c r="A37" s="13" t="s">
        <v>61</v>
      </c>
      <c r="B37" s="17" t="s">
        <v>39</v>
      </c>
      <c r="C37" s="15">
        <v>819</v>
      </c>
      <c r="D37" s="16" t="s">
        <v>46</v>
      </c>
    </row>
    <row r="38" spans="1:4" ht="12.75">
      <c r="A38" s="13" t="s">
        <v>62</v>
      </c>
      <c r="B38" s="17" t="s">
        <v>39</v>
      </c>
      <c r="C38" s="73">
        <v>160.8</v>
      </c>
      <c r="D38" s="16" t="s">
        <v>53</v>
      </c>
    </row>
    <row r="39" spans="1:4" ht="12.75">
      <c r="A39" s="13" t="s">
        <v>63</v>
      </c>
      <c r="B39" s="17" t="s">
        <v>39</v>
      </c>
      <c r="C39" s="15"/>
      <c r="D39" s="16" t="s">
        <v>233</v>
      </c>
    </row>
    <row r="40" spans="1:4" ht="12.75">
      <c r="A40" s="13" t="s">
        <v>64</v>
      </c>
      <c r="B40" s="17" t="s">
        <v>39</v>
      </c>
      <c r="C40" s="15"/>
      <c r="D40" s="16" t="s">
        <v>233</v>
      </c>
    </row>
    <row r="41" spans="1:4" ht="12.75">
      <c r="A41" s="13" t="s">
        <v>65</v>
      </c>
      <c r="B41" s="17" t="s">
        <v>39</v>
      </c>
      <c r="C41" s="15"/>
      <c r="D41" s="16" t="s">
        <v>233</v>
      </c>
    </row>
    <row r="42" spans="1:4" ht="12.75">
      <c r="A42" s="13" t="s">
        <v>66</v>
      </c>
      <c r="B42" s="17" t="s">
        <v>67</v>
      </c>
      <c r="C42" s="15"/>
      <c r="D42" s="16" t="s">
        <v>233</v>
      </c>
    </row>
    <row r="43" spans="1:4" ht="12.75">
      <c r="A43" s="13" t="s">
        <v>68</v>
      </c>
      <c r="B43" s="17" t="s">
        <v>67</v>
      </c>
      <c r="C43" s="15"/>
      <c r="D43" s="16" t="s">
        <v>233</v>
      </c>
    </row>
    <row r="44" spans="1:4" ht="12.75">
      <c r="A44" s="13" t="s">
        <v>70</v>
      </c>
      <c r="B44" s="17" t="s">
        <v>39</v>
      </c>
      <c r="C44" s="15"/>
      <c r="D44" s="16" t="s">
        <v>233</v>
      </c>
    </row>
    <row r="45" spans="1:4" ht="12.75">
      <c r="A45" s="13" t="s">
        <v>72</v>
      </c>
      <c r="B45" s="17" t="s">
        <v>39</v>
      </c>
      <c r="C45" s="15"/>
      <c r="D45" s="16" t="s">
        <v>233</v>
      </c>
    </row>
    <row r="46" spans="1:4" ht="12.75">
      <c r="A46" s="13" t="s">
        <v>73</v>
      </c>
      <c r="B46" s="17" t="s">
        <v>67</v>
      </c>
      <c r="C46" s="15"/>
      <c r="D46" s="16" t="s">
        <v>233</v>
      </c>
    </row>
    <row r="47" spans="1:4" ht="12.75">
      <c r="A47" s="13" t="s">
        <v>74</v>
      </c>
      <c r="B47" s="17" t="s">
        <v>39</v>
      </c>
      <c r="C47" s="15">
        <v>596</v>
      </c>
      <c r="D47" s="16" t="s">
        <v>60</v>
      </c>
    </row>
    <row r="48" spans="1:4" ht="12.75" customHeight="1">
      <c r="A48" s="18" t="s">
        <v>75</v>
      </c>
      <c r="B48" s="18"/>
      <c r="C48" s="18"/>
      <c r="D48" s="19"/>
    </row>
    <row r="49" spans="1:4" ht="12.75" customHeight="1">
      <c r="A49" s="20" t="s">
        <v>76</v>
      </c>
      <c r="B49" s="20"/>
      <c r="C49" s="20"/>
      <c r="D49" s="21"/>
    </row>
    <row r="50" spans="1:4" ht="12.75" customHeight="1">
      <c r="A50" s="22" t="s">
        <v>77</v>
      </c>
      <c r="B50" s="22"/>
      <c r="C50" s="22"/>
      <c r="D50" s="23"/>
    </row>
    <row r="51" spans="1:4" ht="25.5" customHeight="1">
      <c r="A51" s="13" t="s">
        <v>78</v>
      </c>
      <c r="B51" s="24" t="s">
        <v>79</v>
      </c>
      <c r="C51" s="24"/>
      <c r="D51" s="13" t="s">
        <v>80</v>
      </c>
    </row>
    <row r="52" spans="1:4" ht="25.5" customHeight="1">
      <c r="A52" s="13" t="s">
        <v>81</v>
      </c>
      <c r="B52" s="24" t="s">
        <v>79</v>
      </c>
      <c r="C52" s="24"/>
      <c r="D52" s="13" t="s">
        <v>80</v>
      </c>
    </row>
    <row r="53" spans="1:4" ht="25.5" customHeight="1">
      <c r="A53" s="13" t="s">
        <v>82</v>
      </c>
      <c r="B53" s="24" t="s">
        <v>79</v>
      </c>
      <c r="C53" s="24"/>
      <c r="D53" s="13" t="s">
        <v>83</v>
      </c>
    </row>
    <row r="54" spans="1:4" ht="25.5" customHeight="1">
      <c r="A54" s="13" t="s">
        <v>84</v>
      </c>
      <c r="B54" s="24" t="s">
        <v>79</v>
      </c>
      <c r="C54" s="24"/>
      <c r="D54" s="13" t="s">
        <v>83</v>
      </c>
    </row>
    <row r="55" spans="1:4" ht="26.25" customHeight="1">
      <c r="A55" s="13" t="s">
        <v>85</v>
      </c>
      <c r="B55" s="24" t="s">
        <v>79</v>
      </c>
      <c r="C55" s="24"/>
      <c r="D55" s="13" t="s">
        <v>86</v>
      </c>
    </row>
    <row r="56" spans="1:4" ht="27.75" customHeight="1">
      <c r="A56" s="13" t="s">
        <v>87</v>
      </c>
      <c r="B56" s="24" t="s">
        <v>79</v>
      </c>
      <c r="C56" s="24"/>
      <c r="D56" s="13" t="s">
        <v>88</v>
      </c>
    </row>
    <row r="57" spans="1:4" ht="25.5" customHeight="1">
      <c r="A57" s="13" t="s">
        <v>89</v>
      </c>
      <c r="B57" s="24" t="s">
        <v>79</v>
      </c>
      <c r="C57" s="24"/>
      <c r="D57" s="13" t="s">
        <v>40</v>
      </c>
    </row>
    <row r="58" spans="1:4" ht="25.5" customHeight="1">
      <c r="A58" s="13" t="s">
        <v>90</v>
      </c>
      <c r="B58" s="24" t="s">
        <v>79</v>
      </c>
      <c r="C58" s="24"/>
      <c r="D58" s="13" t="s">
        <v>88</v>
      </c>
    </row>
    <row r="59" spans="1:4" ht="25.5" customHeight="1">
      <c r="A59" s="13" t="s">
        <v>91</v>
      </c>
      <c r="B59" s="24" t="s">
        <v>79</v>
      </c>
      <c r="C59" s="24"/>
      <c r="D59" s="13" t="s">
        <v>92</v>
      </c>
    </row>
    <row r="60" spans="1:4" ht="26.25" customHeight="1">
      <c r="A60" s="13" t="s">
        <v>93</v>
      </c>
      <c r="B60" s="24" t="s">
        <v>79</v>
      </c>
      <c r="C60" s="24"/>
      <c r="D60" s="86" t="s">
        <v>94</v>
      </c>
    </row>
    <row r="61" spans="1:4" ht="12.75" customHeight="1">
      <c r="A61" s="28" t="s">
        <v>95</v>
      </c>
      <c r="B61" s="28"/>
      <c r="C61" s="29"/>
      <c r="D61" s="30"/>
    </row>
    <row r="62" spans="1:4" ht="27.75" customHeight="1">
      <c r="A62" s="13" t="s">
        <v>96</v>
      </c>
      <c r="B62" s="24" t="s">
        <v>79</v>
      </c>
      <c r="C62" s="24"/>
      <c r="D62" s="13" t="s">
        <v>88</v>
      </c>
    </row>
    <row r="63" spans="1:4" ht="25.5" customHeight="1">
      <c r="A63" s="13" t="s">
        <v>97</v>
      </c>
      <c r="B63" s="24" t="s">
        <v>79</v>
      </c>
      <c r="C63" s="24"/>
      <c r="D63" s="13" t="s">
        <v>98</v>
      </c>
    </row>
    <row r="64" spans="1:4" ht="25.5" customHeight="1">
      <c r="A64" s="13" t="s">
        <v>99</v>
      </c>
      <c r="B64" s="24" t="s">
        <v>79</v>
      </c>
      <c r="C64" s="24"/>
      <c r="D64" s="13" t="s">
        <v>100</v>
      </c>
    </row>
    <row r="65" spans="1:4" ht="27.75" customHeight="1">
      <c r="A65" s="13" t="s">
        <v>101</v>
      </c>
      <c r="B65" s="24" t="s">
        <v>79</v>
      </c>
      <c r="C65" s="24"/>
      <c r="D65" s="13" t="s">
        <v>88</v>
      </c>
    </row>
    <row r="66" spans="1:4" ht="26.25" customHeight="1">
      <c r="A66" s="13" t="s">
        <v>102</v>
      </c>
      <c r="B66" s="24" t="s">
        <v>79</v>
      </c>
      <c r="C66" s="24"/>
      <c r="D66" s="13" t="s">
        <v>60</v>
      </c>
    </row>
    <row r="67" spans="1:4" ht="30" customHeight="1">
      <c r="A67" s="13" t="s">
        <v>103</v>
      </c>
      <c r="B67" s="24" t="s">
        <v>79</v>
      </c>
      <c r="C67" s="24"/>
      <c r="D67" s="13" t="s">
        <v>104</v>
      </c>
    </row>
    <row r="68" spans="1:4" ht="25.5" customHeight="1">
      <c r="A68" s="13" t="s">
        <v>105</v>
      </c>
      <c r="B68" s="24" t="s">
        <v>79</v>
      </c>
      <c r="C68" s="24"/>
      <c r="D68" s="13" t="s">
        <v>106</v>
      </c>
    </row>
    <row r="69" spans="1:4" ht="25.5" customHeight="1">
      <c r="A69" s="13" t="s">
        <v>107</v>
      </c>
      <c r="B69" s="24" t="s">
        <v>79</v>
      </c>
      <c r="C69" s="24"/>
      <c r="D69" s="13" t="s">
        <v>108</v>
      </c>
    </row>
    <row r="70" spans="1:4" ht="24.75" customHeight="1">
      <c r="A70" s="13" t="s">
        <v>89</v>
      </c>
      <c r="B70" s="24" t="s">
        <v>79</v>
      </c>
      <c r="C70" s="24"/>
      <c r="D70" s="13" t="s">
        <v>40</v>
      </c>
    </row>
    <row r="71" spans="1:4" ht="25.5" customHeight="1">
      <c r="A71" s="13" t="s">
        <v>109</v>
      </c>
      <c r="B71" s="24" t="s">
        <v>79</v>
      </c>
      <c r="C71" s="24"/>
      <c r="D71" s="13" t="s">
        <v>108</v>
      </c>
    </row>
    <row r="72" spans="1:4" ht="12.75" customHeight="1">
      <c r="A72" s="28" t="s">
        <v>110</v>
      </c>
      <c r="B72" s="28"/>
      <c r="C72" s="31"/>
      <c r="D72" s="30"/>
    </row>
    <row r="73" spans="1:4" ht="27.75" customHeight="1">
      <c r="A73" s="13" t="s">
        <v>111</v>
      </c>
      <c r="B73" s="14" t="s">
        <v>112</v>
      </c>
      <c r="C73" s="15">
        <f>42*1.15*12</f>
        <v>579.5999999999999</v>
      </c>
      <c r="D73" s="74" t="s">
        <v>69</v>
      </c>
    </row>
    <row r="74" spans="1:4" ht="12.75">
      <c r="A74" s="13" t="s">
        <v>113</v>
      </c>
      <c r="B74" s="33" t="s">
        <v>112</v>
      </c>
      <c r="C74" s="15">
        <f>0.75*2*2*51</f>
        <v>153</v>
      </c>
      <c r="D74" s="74" t="s">
        <v>114</v>
      </c>
    </row>
    <row r="75" spans="1:4" ht="25.5">
      <c r="A75" s="13" t="s">
        <v>115</v>
      </c>
      <c r="B75" s="14" t="s">
        <v>67</v>
      </c>
      <c r="C75" s="15">
        <v>3</v>
      </c>
      <c r="D75" s="74" t="s">
        <v>116</v>
      </c>
    </row>
    <row r="76" spans="1:4" ht="12.75" customHeight="1">
      <c r="A76" s="18" t="s">
        <v>117</v>
      </c>
      <c r="B76" s="18"/>
      <c r="C76" s="34"/>
      <c r="D76" s="145"/>
    </row>
    <row r="77" spans="1:4" ht="12.75">
      <c r="A77" s="35" t="s">
        <v>118</v>
      </c>
      <c r="B77" s="36"/>
      <c r="C77" s="37"/>
      <c r="D77" s="38"/>
    </row>
    <row r="78" spans="1:4" ht="12.75">
      <c r="A78" s="39" t="s">
        <v>393</v>
      </c>
      <c r="B78" s="40" t="s">
        <v>39</v>
      </c>
      <c r="C78" s="41">
        <v>8</v>
      </c>
      <c r="D78" s="42"/>
    </row>
    <row r="79" spans="1:4" ht="12.75">
      <c r="A79" s="39" t="s">
        <v>413</v>
      </c>
      <c r="B79" s="40" t="s">
        <v>67</v>
      </c>
      <c r="C79" s="41">
        <v>8</v>
      </c>
      <c r="D79" s="42"/>
    </row>
    <row r="80" spans="1:4" ht="12.75">
      <c r="A80" s="35" t="s">
        <v>235</v>
      </c>
      <c r="B80" s="36"/>
      <c r="C80" s="36"/>
      <c r="D80" s="45"/>
    </row>
    <row r="81" spans="1:4" ht="12.75">
      <c r="A81" s="88" t="s">
        <v>386</v>
      </c>
      <c r="B81" s="40" t="s">
        <v>39</v>
      </c>
      <c r="C81" s="41">
        <f>0.3+0.5+0.6</f>
        <v>1.4</v>
      </c>
      <c r="D81" s="42"/>
    </row>
    <row r="82" spans="1:4" ht="12.75">
      <c r="A82" s="88" t="s">
        <v>325</v>
      </c>
      <c r="B82" s="40" t="s">
        <v>67</v>
      </c>
      <c r="C82" s="41">
        <v>2</v>
      </c>
      <c r="D82" s="42"/>
    </row>
    <row r="83" spans="1:4" ht="12.75">
      <c r="A83" s="35" t="s">
        <v>126</v>
      </c>
      <c r="B83" s="36"/>
      <c r="C83" s="36"/>
      <c r="D83" s="45"/>
    </row>
    <row r="84" spans="1:4" ht="12.75">
      <c r="A84" s="43" t="s">
        <v>128</v>
      </c>
      <c r="B84" s="46" t="s">
        <v>67</v>
      </c>
      <c r="C84" s="41">
        <v>2</v>
      </c>
      <c r="D84" s="42"/>
    </row>
    <row r="85" spans="1:4" ht="12.75">
      <c r="A85" s="43" t="s">
        <v>129</v>
      </c>
      <c r="B85" s="40" t="s">
        <v>67</v>
      </c>
      <c r="C85" s="41">
        <f>2+2+2+2</f>
        <v>8</v>
      </c>
      <c r="D85" s="42"/>
    </row>
    <row r="86" spans="1:4" ht="12.75">
      <c r="A86" s="43" t="s">
        <v>254</v>
      </c>
      <c r="B86" s="40" t="s">
        <v>67</v>
      </c>
      <c r="C86" s="41">
        <v>1</v>
      </c>
      <c r="D86" s="42"/>
    </row>
    <row r="87" spans="1:4" ht="12.75">
      <c r="A87" s="43" t="s">
        <v>134</v>
      </c>
      <c r="B87" s="40" t="s">
        <v>39</v>
      </c>
      <c r="C87" s="41">
        <f>0.2+0.3</f>
        <v>0.5</v>
      </c>
      <c r="D87" s="42"/>
    </row>
    <row r="88" spans="1:4" ht="12.75">
      <c r="A88" s="35" t="s">
        <v>213</v>
      </c>
      <c r="B88" s="36"/>
      <c r="C88" s="36"/>
      <c r="D88" s="45"/>
    </row>
    <row r="89" spans="1:4" s="1" customFormat="1" ht="12.75">
      <c r="A89" s="80" t="s">
        <v>241</v>
      </c>
      <c r="B89" s="41" t="s">
        <v>67</v>
      </c>
      <c r="C89" s="41">
        <v>2</v>
      </c>
      <c r="D89" s="68" t="s">
        <v>130</v>
      </c>
    </row>
    <row r="90" spans="1:4" ht="12.75">
      <c r="A90" s="80" t="s">
        <v>396</v>
      </c>
      <c r="B90" s="41" t="s">
        <v>67</v>
      </c>
      <c r="C90" s="41">
        <f>1+2</f>
        <v>3</v>
      </c>
      <c r="D90" s="42"/>
    </row>
    <row r="91" spans="1:4" ht="12.75">
      <c r="A91" s="80" t="s">
        <v>397</v>
      </c>
      <c r="B91" s="41" t="s">
        <v>39</v>
      </c>
      <c r="C91" s="41">
        <f>1</f>
        <v>1</v>
      </c>
      <c r="D91" s="42"/>
    </row>
    <row r="92" spans="1:4" ht="12.75">
      <c r="A92" s="49" t="s">
        <v>141</v>
      </c>
      <c r="B92" s="36"/>
      <c r="C92" s="50"/>
      <c r="D92" s="45"/>
    </row>
    <row r="93" spans="1:4" ht="12.75">
      <c r="A93" s="51" t="s">
        <v>430</v>
      </c>
      <c r="B93" s="41" t="s">
        <v>67</v>
      </c>
      <c r="C93" s="41">
        <v>2</v>
      </c>
      <c r="D93" s="42"/>
    </row>
    <row r="94" spans="1:4" ht="12.75">
      <c r="A94" s="51" t="s">
        <v>142</v>
      </c>
      <c r="B94" s="41" t="s">
        <v>67</v>
      </c>
      <c r="C94" s="41">
        <f>1</f>
        <v>1</v>
      </c>
      <c r="D94" s="42"/>
    </row>
    <row r="95" spans="1:4" ht="12.75">
      <c r="A95" s="51" t="s">
        <v>399</v>
      </c>
      <c r="B95" s="41" t="s">
        <v>39</v>
      </c>
      <c r="C95" s="41">
        <v>4</v>
      </c>
      <c r="D95" s="42"/>
    </row>
    <row r="96" spans="1:4" ht="12.75">
      <c r="A96" s="49" t="s">
        <v>157</v>
      </c>
      <c r="B96" s="36"/>
      <c r="C96" s="36"/>
      <c r="D96" s="45"/>
    </row>
    <row r="97" spans="1:4" s="1" customFormat="1" ht="12.75">
      <c r="A97" s="80" t="s">
        <v>400</v>
      </c>
      <c r="B97" s="41" t="s">
        <v>39</v>
      </c>
      <c r="C97" s="41">
        <v>138</v>
      </c>
      <c r="D97" s="68" t="s">
        <v>186</v>
      </c>
    </row>
    <row r="98" spans="1:6" s="1" customFormat="1" ht="12.75">
      <c r="A98" s="51" t="s">
        <v>431</v>
      </c>
      <c r="B98" s="40" t="s">
        <v>39</v>
      </c>
      <c r="C98" s="40">
        <f>3.1+3.9</f>
        <v>7</v>
      </c>
      <c r="D98" s="68"/>
      <c r="E98" s="114"/>
      <c r="F98" s="114"/>
    </row>
    <row r="99" spans="1:4" ht="12.75">
      <c r="A99" s="35" t="s">
        <v>161</v>
      </c>
      <c r="B99" s="36"/>
      <c r="C99" s="60"/>
      <c r="D99" s="45"/>
    </row>
    <row r="100" spans="1:4" ht="12.75">
      <c r="A100" s="54" t="s">
        <v>162</v>
      </c>
      <c r="B100" s="58" t="s">
        <v>401</v>
      </c>
      <c r="C100" s="56">
        <v>1</v>
      </c>
      <c r="D100" s="68" t="s">
        <v>44</v>
      </c>
    </row>
    <row r="101" spans="1:4" ht="12.75">
      <c r="A101" s="54" t="s">
        <v>163</v>
      </c>
      <c r="B101" s="58" t="s">
        <v>401</v>
      </c>
      <c r="C101" s="56">
        <v>1</v>
      </c>
      <c r="D101" s="89" t="s">
        <v>164</v>
      </c>
    </row>
    <row r="102" spans="1:4" ht="12.75">
      <c r="A102" s="49" t="s">
        <v>165</v>
      </c>
      <c r="B102" s="144"/>
      <c r="C102" s="36"/>
      <c r="D102" s="45"/>
    </row>
    <row r="103" spans="1:4" ht="12.75">
      <c r="A103" s="54" t="s">
        <v>162</v>
      </c>
      <c r="B103" s="58" t="s">
        <v>401</v>
      </c>
      <c r="C103" s="56">
        <v>1</v>
      </c>
      <c r="D103" s="68" t="s">
        <v>44</v>
      </c>
    </row>
    <row r="104" spans="1:4" ht="12.75">
      <c r="A104" s="54" t="s">
        <v>163</v>
      </c>
      <c r="B104" s="58" t="s">
        <v>401</v>
      </c>
      <c r="C104" s="56">
        <v>1</v>
      </c>
      <c r="D104" s="89" t="s">
        <v>164</v>
      </c>
    </row>
    <row r="105" spans="1:4" ht="12.75">
      <c r="A105" s="49" t="s">
        <v>166</v>
      </c>
      <c r="B105" s="144"/>
      <c r="C105" s="36"/>
      <c r="D105" s="45"/>
    </row>
    <row r="106" spans="1:4" ht="12.75">
      <c r="A106" s="54" t="s">
        <v>162</v>
      </c>
      <c r="B106" s="56" t="s">
        <v>39</v>
      </c>
      <c r="C106" s="56">
        <f>72.4+88.4</f>
        <v>160.8</v>
      </c>
      <c r="D106" s="47" t="s">
        <v>175</v>
      </c>
    </row>
    <row r="107" spans="1:4" ht="12.75">
      <c r="A107" s="54" t="s">
        <v>163</v>
      </c>
      <c r="B107" s="56" t="s">
        <v>39</v>
      </c>
      <c r="C107" s="56">
        <f>72.4+88.4</f>
        <v>160.8</v>
      </c>
      <c r="D107" s="89" t="s">
        <v>164</v>
      </c>
    </row>
    <row r="110" ht="12.75">
      <c r="A110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4:C24"/>
    <mergeCell ref="A48:C48"/>
    <mergeCell ref="A49:C49"/>
    <mergeCell ref="A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B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72:B72"/>
    <mergeCell ref="A76:B76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4"/>
  </sheetPr>
  <dimension ref="A1:D110"/>
  <sheetViews>
    <sheetView workbookViewId="0" topLeftCell="A82">
      <selection activeCell="A111" sqref="A111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432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433</v>
      </c>
    </row>
    <row r="8" spans="1:3" ht="12.75">
      <c r="A8" s="1" t="s">
        <v>7</v>
      </c>
      <c r="C8" s="4" t="s">
        <v>434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0" t="s">
        <v>435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23</v>
      </c>
      <c r="B17" s="1" t="s">
        <v>232</v>
      </c>
      <c r="C17" s="7"/>
    </row>
    <row r="18" spans="1:3" ht="12.75">
      <c r="A18" s="1" t="s">
        <v>25</v>
      </c>
      <c r="B18" s="1" t="s">
        <v>26</v>
      </c>
      <c r="C18" s="7"/>
    </row>
    <row r="19" spans="1:3" ht="12.75">
      <c r="A19" s="1" t="s">
        <v>27</v>
      </c>
      <c r="B19" s="1" t="s">
        <v>28</v>
      </c>
      <c r="C19" s="7"/>
    </row>
    <row r="20" spans="1:3" ht="12.75">
      <c r="A20" s="1" t="s">
        <v>29</v>
      </c>
      <c r="C20" s="7"/>
    </row>
    <row r="21" spans="1:3" ht="12.75">
      <c r="A21" s="1" t="s">
        <v>30</v>
      </c>
      <c r="B21" s="1" t="s">
        <v>31</v>
      </c>
      <c r="C21" s="7"/>
    </row>
    <row r="22" ht="12.75">
      <c r="C22" s="7"/>
    </row>
    <row r="23" spans="1:3" ht="12.75">
      <c r="A23" s="1" t="s">
        <v>32</v>
      </c>
      <c r="C23" s="71">
        <v>0.7497</v>
      </c>
    </row>
    <row r="24" spans="1:3" ht="12.75">
      <c r="A24" s="72"/>
      <c r="C24" s="7"/>
    </row>
    <row r="25" spans="1:3" ht="12.75" customHeight="1">
      <c r="A25" s="10" t="s">
        <v>33</v>
      </c>
      <c r="B25" s="10"/>
      <c r="C25" s="10"/>
    </row>
    <row r="26" ht="12.75"/>
    <row r="27" spans="1:4" ht="38.25">
      <c r="A27" s="11" t="s">
        <v>34</v>
      </c>
      <c r="B27" s="11" t="s">
        <v>35</v>
      </c>
      <c r="C27" s="11" t="s">
        <v>36</v>
      </c>
      <c r="D27" s="12" t="s">
        <v>37</v>
      </c>
    </row>
    <row r="28" spans="1:4" ht="25.5">
      <c r="A28" s="111" t="s">
        <v>38</v>
      </c>
      <c r="B28" s="121" t="s">
        <v>39</v>
      </c>
      <c r="C28" s="73">
        <v>102</v>
      </c>
      <c r="D28" s="122" t="s">
        <v>40</v>
      </c>
    </row>
    <row r="29" spans="1:4" ht="12.75">
      <c r="A29" s="13" t="s">
        <v>41</v>
      </c>
      <c r="B29" s="14" t="s">
        <v>39</v>
      </c>
      <c r="C29" s="73">
        <v>102</v>
      </c>
      <c r="D29" s="16" t="s">
        <v>42</v>
      </c>
    </row>
    <row r="30" spans="1:4" ht="12.75">
      <c r="A30" s="13" t="s">
        <v>43</v>
      </c>
      <c r="B30" s="14" t="s">
        <v>39</v>
      </c>
      <c r="C30" s="123">
        <v>526</v>
      </c>
      <c r="D30" s="16" t="s">
        <v>44</v>
      </c>
    </row>
    <row r="31" spans="1:4" ht="12.75">
      <c r="A31" s="13" t="s">
        <v>45</v>
      </c>
      <c r="B31" s="14" t="s">
        <v>39</v>
      </c>
      <c r="C31" s="15">
        <v>3</v>
      </c>
      <c r="D31" s="16" t="s">
        <v>46</v>
      </c>
    </row>
    <row r="32" spans="1:4" ht="12.75">
      <c r="A32" s="13" t="s">
        <v>47</v>
      </c>
      <c r="B32" s="17" t="s">
        <v>39</v>
      </c>
      <c r="C32" s="15">
        <v>9</v>
      </c>
      <c r="D32" s="16" t="s">
        <v>48</v>
      </c>
    </row>
    <row r="33" spans="1:4" ht="12.75">
      <c r="A33" s="13" t="s">
        <v>49</v>
      </c>
      <c r="B33" s="17" t="s">
        <v>50</v>
      </c>
      <c r="C33" s="73">
        <v>102</v>
      </c>
      <c r="D33" s="16" t="s">
        <v>51</v>
      </c>
    </row>
    <row r="34" spans="1:4" ht="12.75">
      <c r="A34" s="13" t="s">
        <v>52</v>
      </c>
      <c r="B34" s="17" t="s">
        <v>39</v>
      </c>
      <c r="C34" s="15">
        <v>153</v>
      </c>
      <c r="D34" s="16" t="s">
        <v>53</v>
      </c>
    </row>
    <row r="35" spans="1:4" ht="12.75">
      <c r="A35" s="13" t="s">
        <v>54</v>
      </c>
      <c r="B35" s="17" t="s">
        <v>39</v>
      </c>
      <c r="C35" s="15"/>
      <c r="D35" s="16" t="s">
        <v>233</v>
      </c>
    </row>
    <row r="36" spans="1:4" ht="12.75">
      <c r="A36" s="13" t="s">
        <v>56</v>
      </c>
      <c r="B36" s="17" t="s">
        <v>39</v>
      </c>
      <c r="C36" s="15"/>
      <c r="D36" s="16" t="s">
        <v>233</v>
      </c>
    </row>
    <row r="37" spans="1:4" ht="12.75">
      <c r="A37" s="13" t="s">
        <v>59</v>
      </c>
      <c r="B37" s="17" t="s">
        <v>39</v>
      </c>
      <c r="C37" s="15"/>
      <c r="D37" s="16" t="s">
        <v>233</v>
      </c>
    </row>
    <row r="38" spans="1:4" ht="12.75">
      <c r="A38" s="13" t="s">
        <v>61</v>
      </c>
      <c r="B38" s="17" t="s">
        <v>39</v>
      </c>
      <c r="C38" s="15">
        <v>1092.2</v>
      </c>
      <c r="D38" s="16" t="s">
        <v>46</v>
      </c>
    </row>
    <row r="39" spans="1:4" ht="12.75">
      <c r="A39" s="13" t="s">
        <v>62</v>
      </c>
      <c r="B39" s="17" t="s">
        <v>39</v>
      </c>
      <c r="C39" s="73">
        <v>102</v>
      </c>
      <c r="D39" s="16" t="s">
        <v>53</v>
      </c>
    </row>
    <row r="40" spans="1:4" ht="12.75">
      <c r="A40" s="13" t="s">
        <v>63</v>
      </c>
      <c r="B40" s="17" t="s">
        <v>39</v>
      </c>
      <c r="C40" s="15"/>
      <c r="D40" s="16" t="s">
        <v>233</v>
      </c>
    </row>
    <row r="41" spans="1:4" ht="12.75">
      <c r="A41" s="13" t="s">
        <v>64</v>
      </c>
      <c r="B41" s="17" t="s">
        <v>39</v>
      </c>
      <c r="C41" s="15"/>
      <c r="D41" s="16" t="s">
        <v>233</v>
      </c>
    </row>
    <row r="42" spans="1:4" ht="12.75">
      <c r="A42" s="13" t="s">
        <v>65</v>
      </c>
      <c r="B42" s="17" t="s">
        <v>39</v>
      </c>
      <c r="C42" s="15"/>
      <c r="D42" s="16" t="s">
        <v>233</v>
      </c>
    </row>
    <row r="43" spans="1:4" ht="12.75">
      <c r="A43" s="13" t="s">
        <v>66</v>
      </c>
      <c r="B43" s="17" t="s">
        <v>67</v>
      </c>
      <c r="C43" s="15"/>
      <c r="D43" s="16" t="s">
        <v>233</v>
      </c>
    </row>
    <row r="44" spans="1:4" ht="12.75">
      <c r="A44" s="13" t="s">
        <v>68</v>
      </c>
      <c r="B44" s="17" t="s">
        <v>67</v>
      </c>
      <c r="C44" s="15"/>
      <c r="D44" s="16" t="s">
        <v>233</v>
      </c>
    </row>
    <row r="45" spans="1:4" ht="12.75">
      <c r="A45" s="13" t="s">
        <v>70</v>
      </c>
      <c r="B45" s="17" t="s">
        <v>39</v>
      </c>
      <c r="C45" s="15"/>
      <c r="D45" s="16" t="s">
        <v>233</v>
      </c>
    </row>
    <row r="46" spans="1:4" ht="12.75">
      <c r="A46" s="13" t="s">
        <v>72</v>
      </c>
      <c r="B46" s="17" t="s">
        <v>39</v>
      </c>
      <c r="C46" s="15"/>
      <c r="D46" s="16" t="s">
        <v>233</v>
      </c>
    </row>
    <row r="47" spans="1:4" ht="12.75">
      <c r="A47" s="13" t="s">
        <v>73</v>
      </c>
      <c r="B47" s="17" t="s">
        <v>67</v>
      </c>
      <c r="C47" s="15"/>
      <c r="D47" s="16" t="s">
        <v>233</v>
      </c>
    </row>
    <row r="48" spans="1:4" ht="12.75">
      <c r="A48" s="13" t="s">
        <v>74</v>
      </c>
      <c r="B48" s="17" t="s">
        <v>39</v>
      </c>
      <c r="C48" s="15">
        <v>546.1</v>
      </c>
      <c r="D48" s="16" t="s">
        <v>60</v>
      </c>
    </row>
    <row r="49" spans="1:4" ht="12.75" customHeight="1">
      <c r="A49" s="18" t="s">
        <v>75</v>
      </c>
      <c r="B49" s="18"/>
      <c r="C49" s="18"/>
      <c r="D49" s="19"/>
    </row>
    <row r="50" spans="1:4" ht="12.75" customHeight="1">
      <c r="A50" s="20" t="s">
        <v>76</v>
      </c>
      <c r="B50" s="20"/>
      <c r="C50" s="20"/>
      <c r="D50" s="21"/>
    </row>
    <row r="51" spans="1:4" ht="12.75" customHeight="1">
      <c r="A51" s="22" t="s">
        <v>77</v>
      </c>
      <c r="B51" s="22"/>
      <c r="C51" s="22"/>
      <c r="D51" s="23"/>
    </row>
    <row r="52" spans="1:4" ht="25.5" customHeight="1">
      <c r="A52" s="13" t="s">
        <v>78</v>
      </c>
      <c r="B52" s="24" t="s">
        <v>79</v>
      </c>
      <c r="C52" s="24"/>
      <c r="D52" s="13" t="s">
        <v>80</v>
      </c>
    </row>
    <row r="53" spans="1:4" ht="25.5" customHeight="1">
      <c r="A53" s="13" t="s">
        <v>81</v>
      </c>
      <c r="B53" s="24" t="s">
        <v>79</v>
      </c>
      <c r="C53" s="24"/>
      <c r="D53" s="13" t="s">
        <v>80</v>
      </c>
    </row>
    <row r="54" spans="1:4" ht="25.5" customHeight="1">
      <c r="A54" s="13" t="s">
        <v>82</v>
      </c>
      <c r="B54" s="24" t="s">
        <v>79</v>
      </c>
      <c r="C54" s="24"/>
      <c r="D54" s="13" t="s">
        <v>83</v>
      </c>
    </row>
    <row r="55" spans="1:4" ht="25.5" customHeight="1">
      <c r="A55" s="13" t="s">
        <v>84</v>
      </c>
      <c r="B55" s="24" t="s">
        <v>79</v>
      </c>
      <c r="C55" s="24"/>
      <c r="D55" s="13" t="s">
        <v>83</v>
      </c>
    </row>
    <row r="56" spans="1:4" ht="25.5" customHeight="1">
      <c r="A56" s="13" t="s">
        <v>85</v>
      </c>
      <c r="B56" s="24" t="s">
        <v>79</v>
      </c>
      <c r="C56" s="24"/>
      <c r="D56" s="13" t="s">
        <v>86</v>
      </c>
    </row>
    <row r="57" spans="1:4" ht="28.5" customHeight="1">
      <c r="A57" s="13" t="s">
        <v>87</v>
      </c>
      <c r="B57" s="24" t="s">
        <v>79</v>
      </c>
      <c r="C57" s="24"/>
      <c r="D57" s="13" t="s">
        <v>88</v>
      </c>
    </row>
    <row r="58" spans="1:4" ht="25.5" customHeight="1">
      <c r="A58" s="13" t="s">
        <v>89</v>
      </c>
      <c r="B58" s="24" t="s">
        <v>79</v>
      </c>
      <c r="C58" s="24"/>
      <c r="D58" s="13" t="s">
        <v>40</v>
      </c>
    </row>
    <row r="59" spans="1:4" ht="25.5" customHeight="1">
      <c r="A59" s="13" t="s">
        <v>90</v>
      </c>
      <c r="B59" s="24" t="s">
        <v>79</v>
      </c>
      <c r="C59" s="24"/>
      <c r="D59" s="13" t="s">
        <v>88</v>
      </c>
    </row>
    <row r="60" spans="1:4" ht="25.5" customHeight="1">
      <c r="A60" s="13" t="s">
        <v>91</v>
      </c>
      <c r="B60" s="24" t="s">
        <v>79</v>
      </c>
      <c r="C60" s="24"/>
      <c r="D60" s="13" t="s">
        <v>92</v>
      </c>
    </row>
    <row r="61" spans="1:4" ht="27.75" customHeight="1">
      <c r="A61" s="13" t="s">
        <v>93</v>
      </c>
      <c r="B61" s="24" t="s">
        <v>79</v>
      </c>
      <c r="C61" s="24"/>
      <c r="D61" s="86" t="s">
        <v>94</v>
      </c>
    </row>
    <row r="62" spans="1:4" ht="12.75" customHeight="1">
      <c r="A62" s="28" t="s">
        <v>95</v>
      </c>
      <c r="B62" s="28"/>
      <c r="C62" s="29"/>
      <c r="D62" s="30"/>
    </row>
    <row r="63" spans="1:4" ht="27.75" customHeight="1">
      <c r="A63" s="13" t="s">
        <v>96</v>
      </c>
      <c r="B63" s="24" t="s">
        <v>79</v>
      </c>
      <c r="C63" s="24"/>
      <c r="D63" s="13" t="s">
        <v>88</v>
      </c>
    </row>
    <row r="64" spans="1:4" ht="25.5" customHeight="1">
      <c r="A64" s="13" t="s">
        <v>97</v>
      </c>
      <c r="B64" s="24" t="s">
        <v>79</v>
      </c>
      <c r="C64" s="24"/>
      <c r="D64" s="13" t="s">
        <v>98</v>
      </c>
    </row>
    <row r="65" spans="1:4" ht="25.5" customHeight="1">
      <c r="A65" s="13" t="s">
        <v>99</v>
      </c>
      <c r="B65" s="24" t="s">
        <v>79</v>
      </c>
      <c r="C65" s="24"/>
      <c r="D65" s="13" t="s">
        <v>100</v>
      </c>
    </row>
    <row r="66" spans="1:4" ht="27.75" customHeight="1">
      <c r="A66" s="13" t="s">
        <v>101</v>
      </c>
      <c r="B66" s="24" t="s">
        <v>79</v>
      </c>
      <c r="C66" s="24"/>
      <c r="D66" s="13" t="s">
        <v>88</v>
      </c>
    </row>
    <row r="67" spans="1:4" ht="26.25" customHeight="1">
      <c r="A67" s="13" t="s">
        <v>102</v>
      </c>
      <c r="B67" s="24" t="s">
        <v>79</v>
      </c>
      <c r="C67" s="24"/>
      <c r="D67" s="13" t="s">
        <v>60</v>
      </c>
    </row>
    <row r="68" spans="1:4" ht="30" customHeight="1">
      <c r="A68" s="13" t="s">
        <v>103</v>
      </c>
      <c r="B68" s="24" t="s">
        <v>79</v>
      </c>
      <c r="C68" s="24"/>
      <c r="D68" s="13" t="s">
        <v>104</v>
      </c>
    </row>
    <row r="69" spans="1:4" ht="25.5" customHeight="1">
      <c r="A69" s="13" t="s">
        <v>105</v>
      </c>
      <c r="B69" s="24" t="s">
        <v>79</v>
      </c>
      <c r="C69" s="24"/>
      <c r="D69" s="13" t="s">
        <v>106</v>
      </c>
    </row>
    <row r="70" spans="1:4" ht="25.5" customHeight="1">
      <c r="A70" s="13" t="s">
        <v>107</v>
      </c>
      <c r="B70" s="24" t="s">
        <v>79</v>
      </c>
      <c r="C70" s="24"/>
      <c r="D70" s="13" t="s">
        <v>108</v>
      </c>
    </row>
    <row r="71" spans="1:4" ht="24.75" customHeight="1">
      <c r="A71" s="13" t="s">
        <v>89</v>
      </c>
      <c r="B71" s="24" t="s">
        <v>79</v>
      </c>
      <c r="C71" s="24"/>
      <c r="D71" s="13" t="s">
        <v>40</v>
      </c>
    </row>
    <row r="72" spans="1:4" ht="25.5" customHeight="1">
      <c r="A72" s="13" t="s">
        <v>109</v>
      </c>
      <c r="B72" s="24" t="s">
        <v>79</v>
      </c>
      <c r="C72" s="24"/>
      <c r="D72" s="13" t="s">
        <v>108</v>
      </c>
    </row>
    <row r="73" spans="1:4" ht="12.75" customHeight="1">
      <c r="A73" s="28" t="s">
        <v>110</v>
      </c>
      <c r="B73" s="28"/>
      <c r="C73" s="31"/>
      <c r="D73" s="30"/>
    </row>
    <row r="74" spans="1:4" ht="27.75" customHeight="1">
      <c r="A74" s="13" t="s">
        <v>111</v>
      </c>
      <c r="B74" s="14" t="s">
        <v>112</v>
      </c>
      <c r="C74" s="15">
        <f>109*1.15*12</f>
        <v>1504.1999999999998</v>
      </c>
      <c r="D74" s="74" t="s">
        <v>69</v>
      </c>
    </row>
    <row r="75" spans="1:4" ht="12.75">
      <c r="A75" s="13" t="s">
        <v>113</v>
      </c>
      <c r="B75" s="33" t="s">
        <v>112</v>
      </c>
      <c r="C75" s="15">
        <f>0.75*2*2*51</f>
        <v>153</v>
      </c>
      <c r="D75" s="74" t="s">
        <v>114</v>
      </c>
    </row>
    <row r="76" spans="1:4" ht="25.5">
      <c r="A76" s="13" t="s">
        <v>115</v>
      </c>
      <c r="B76" s="14" t="s">
        <v>67</v>
      </c>
      <c r="C76" s="15">
        <v>3</v>
      </c>
      <c r="D76" s="74" t="s">
        <v>116</v>
      </c>
    </row>
    <row r="77" spans="1:4" ht="12.75" customHeight="1">
      <c r="A77" s="28" t="s">
        <v>117</v>
      </c>
      <c r="B77" s="28"/>
      <c r="C77" s="29"/>
      <c r="D77" s="146"/>
    </row>
    <row r="78" spans="1:4" ht="12.75">
      <c r="A78" s="35" t="s">
        <v>235</v>
      </c>
      <c r="B78" s="36"/>
      <c r="C78" s="82"/>
      <c r="D78" s="37"/>
    </row>
    <row r="79" spans="1:4" ht="12.75">
      <c r="A79" s="39" t="s">
        <v>299</v>
      </c>
      <c r="B79" s="40" t="s">
        <v>67</v>
      </c>
      <c r="C79" s="40">
        <v>3</v>
      </c>
      <c r="D79" s="147"/>
    </row>
    <row r="80" spans="1:4" ht="12.75">
      <c r="A80" s="88" t="s">
        <v>386</v>
      </c>
      <c r="B80" s="40" t="s">
        <v>39</v>
      </c>
      <c r="C80" s="40">
        <v>0.4</v>
      </c>
      <c r="D80" s="147"/>
    </row>
    <row r="81" spans="1:4" ht="12.75">
      <c r="A81" s="35" t="s">
        <v>126</v>
      </c>
      <c r="B81" s="36"/>
      <c r="C81" s="36"/>
      <c r="D81" s="37"/>
    </row>
    <row r="82" spans="1:4" ht="12.75">
      <c r="A82" s="43" t="s">
        <v>128</v>
      </c>
      <c r="B82" s="46" t="s">
        <v>67</v>
      </c>
      <c r="C82" s="40">
        <f>1+1</f>
        <v>2</v>
      </c>
      <c r="D82" s="147"/>
    </row>
    <row r="83" spans="1:4" ht="12.75">
      <c r="A83" s="43" t="s">
        <v>129</v>
      </c>
      <c r="B83" s="40" t="s">
        <v>67</v>
      </c>
      <c r="C83" s="41">
        <f>2+2+1</f>
        <v>5</v>
      </c>
      <c r="D83" s="147"/>
    </row>
    <row r="84" spans="1:4" ht="12.75">
      <c r="A84" s="43" t="s">
        <v>131</v>
      </c>
      <c r="B84" s="40" t="s">
        <v>67</v>
      </c>
      <c r="C84" s="41">
        <f>1+1</f>
        <v>2</v>
      </c>
      <c r="D84" s="147"/>
    </row>
    <row r="85" spans="1:4" ht="12.75">
      <c r="A85" s="43" t="s">
        <v>134</v>
      </c>
      <c r="B85" s="40" t="s">
        <v>39</v>
      </c>
      <c r="C85" s="41">
        <v>2</v>
      </c>
      <c r="D85" s="147"/>
    </row>
    <row r="86" spans="1:4" ht="12.75">
      <c r="A86" s="43" t="s">
        <v>387</v>
      </c>
      <c r="B86" s="40" t="s">
        <v>67</v>
      </c>
      <c r="C86" s="41">
        <v>4</v>
      </c>
      <c r="D86" s="147"/>
    </row>
    <row r="87" spans="1:4" ht="12.75">
      <c r="A87" s="49" t="s">
        <v>145</v>
      </c>
      <c r="B87" s="36"/>
      <c r="C87" s="36"/>
      <c r="D87" s="37"/>
    </row>
    <row r="88" spans="1:4" s="1" customFormat="1" ht="12.75">
      <c r="A88" s="80" t="s">
        <v>222</v>
      </c>
      <c r="B88" s="41" t="s">
        <v>112</v>
      </c>
      <c r="C88" s="41">
        <v>21</v>
      </c>
      <c r="D88" s="91"/>
    </row>
    <row r="89" spans="1:4" ht="12.75">
      <c r="A89" s="52" t="s">
        <v>147</v>
      </c>
      <c r="B89" s="40" t="s">
        <v>67</v>
      </c>
      <c r="C89" s="40">
        <v>2</v>
      </c>
      <c r="D89" s="147"/>
    </row>
    <row r="90" spans="1:4" ht="12.75">
      <c r="A90" s="52" t="s">
        <v>149</v>
      </c>
      <c r="B90" s="40" t="s">
        <v>67</v>
      </c>
      <c r="C90" s="40">
        <v>3</v>
      </c>
      <c r="D90" s="147"/>
    </row>
    <row r="91" spans="1:4" ht="12.75">
      <c r="A91" s="52" t="s">
        <v>196</v>
      </c>
      <c r="B91" s="41" t="s">
        <v>67</v>
      </c>
      <c r="C91" s="40">
        <v>2</v>
      </c>
      <c r="D91" s="147"/>
    </row>
    <row r="92" spans="1:4" ht="12.75">
      <c r="A92" s="52" t="s">
        <v>152</v>
      </c>
      <c r="B92" s="41" t="s">
        <v>133</v>
      </c>
      <c r="C92" s="40"/>
      <c r="D92" s="147"/>
    </row>
    <row r="93" spans="1:4" ht="12.75">
      <c r="A93" s="53" t="s">
        <v>153</v>
      </c>
      <c r="B93" s="41" t="s">
        <v>67</v>
      </c>
      <c r="C93" s="40">
        <v>55</v>
      </c>
      <c r="D93" s="147"/>
    </row>
    <row r="94" spans="1:4" ht="12.75">
      <c r="A94" s="52" t="s">
        <v>198</v>
      </c>
      <c r="B94" s="41" t="s">
        <v>67</v>
      </c>
      <c r="C94" s="40">
        <v>2</v>
      </c>
      <c r="D94" s="147"/>
    </row>
    <row r="95" spans="1:4" ht="12.75">
      <c r="A95" s="52" t="s">
        <v>154</v>
      </c>
      <c r="B95" s="41" t="s">
        <v>67</v>
      </c>
      <c r="C95" s="40">
        <v>2</v>
      </c>
      <c r="D95" s="147"/>
    </row>
    <row r="96" spans="1:4" ht="12.75">
      <c r="A96" s="49" t="s">
        <v>157</v>
      </c>
      <c r="B96" s="36"/>
      <c r="C96" s="36"/>
      <c r="D96" s="37"/>
    </row>
    <row r="97" spans="1:4" ht="12.75">
      <c r="A97" s="51" t="s">
        <v>158</v>
      </c>
      <c r="B97" s="40" t="s">
        <v>67</v>
      </c>
      <c r="C97" s="40">
        <v>4</v>
      </c>
      <c r="D97" s="147"/>
    </row>
    <row r="98" spans="1:4" s="1" customFormat="1" ht="12.75">
      <c r="A98" s="80" t="s">
        <v>202</v>
      </c>
      <c r="B98" s="41" t="s">
        <v>39</v>
      </c>
      <c r="C98" s="41">
        <v>492</v>
      </c>
      <c r="D98" s="130"/>
    </row>
    <row r="99" spans="1:4" s="1" customFormat="1" ht="12.75">
      <c r="A99" s="126" t="s">
        <v>388</v>
      </c>
      <c r="B99" s="41" t="s">
        <v>39</v>
      </c>
      <c r="C99" s="41">
        <v>1800</v>
      </c>
      <c r="D99" s="130"/>
    </row>
    <row r="100" spans="1:4" ht="13.5" customHeight="1">
      <c r="A100" s="49" t="s">
        <v>161</v>
      </c>
      <c r="B100" s="36"/>
      <c r="C100" s="116"/>
      <c r="D100" s="38"/>
    </row>
    <row r="101" spans="1:4" ht="12" customHeight="1">
      <c r="A101" s="148" t="s">
        <v>162</v>
      </c>
      <c r="B101" s="149" t="s">
        <v>39</v>
      </c>
      <c r="C101" s="149">
        <f>546.1</f>
        <v>546.1</v>
      </c>
      <c r="D101" s="143" t="s">
        <v>44</v>
      </c>
    </row>
    <row r="102" spans="1:4" ht="25.5" customHeight="1">
      <c r="A102" s="54" t="s">
        <v>163</v>
      </c>
      <c r="B102" s="149" t="s">
        <v>39</v>
      </c>
      <c r="C102" s="56">
        <v>546.1</v>
      </c>
      <c r="D102" s="89" t="s">
        <v>164</v>
      </c>
    </row>
    <row r="103" spans="1:4" ht="12.75">
      <c r="A103" s="49" t="s">
        <v>165</v>
      </c>
      <c r="B103" s="37"/>
      <c r="C103" s="60"/>
      <c r="D103" s="62"/>
    </row>
    <row r="104" spans="1:4" ht="12.75">
      <c r="A104" s="54" t="s">
        <v>162</v>
      </c>
      <c r="B104" s="149" t="s">
        <v>39</v>
      </c>
      <c r="C104" s="56">
        <v>546.1</v>
      </c>
      <c r="D104" s="68" t="s">
        <v>44</v>
      </c>
    </row>
    <row r="105" spans="1:4" ht="12.75">
      <c r="A105" s="54" t="s">
        <v>163</v>
      </c>
      <c r="B105" s="149" t="s">
        <v>39</v>
      </c>
      <c r="C105" s="56">
        <v>546.1</v>
      </c>
      <c r="D105" s="89" t="s">
        <v>164</v>
      </c>
    </row>
    <row r="106" spans="1:4" ht="12.75">
      <c r="A106" s="49" t="s">
        <v>166</v>
      </c>
      <c r="B106" s="37"/>
      <c r="C106" s="60"/>
      <c r="D106" s="62"/>
    </row>
    <row r="107" spans="1:4" ht="12.75">
      <c r="A107" s="54" t="s">
        <v>162</v>
      </c>
      <c r="B107" s="149" t="s">
        <v>39</v>
      </c>
      <c r="C107" s="56">
        <f>546.1+90.2+102</f>
        <v>738.3000000000001</v>
      </c>
      <c r="D107" s="47" t="s">
        <v>175</v>
      </c>
    </row>
    <row r="108" spans="1:4" ht="12.75">
      <c r="A108" s="54" t="s">
        <v>163</v>
      </c>
      <c r="B108" s="149" t="s">
        <v>39</v>
      </c>
      <c r="C108" s="56">
        <f>546.1+90.2+102</f>
        <v>738.3000000000001</v>
      </c>
      <c r="D108" s="89" t="s">
        <v>164</v>
      </c>
    </row>
    <row r="110" ht="12.75">
      <c r="A110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5:C25"/>
    <mergeCell ref="A49:C49"/>
    <mergeCell ref="A50:C50"/>
    <mergeCell ref="A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2:B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A73:B73"/>
    <mergeCell ref="A77:B77"/>
  </mergeCells>
  <printOptions/>
  <pageMargins left="0.5513888888888889" right="0.3541666666666667" top="0.7875" bottom="0.39375" header="0.5118055555555555" footer="0.5118055555555555"/>
  <pageSetup horizontalDpi="300" verticalDpi="300"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4"/>
  </sheetPr>
  <dimension ref="A1:D115"/>
  <sheetViews>
    <sheetView workbookViewId="0" topLeftCell="A94">
      <selection activeCell="A118" sqref="A118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436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437</v>
      </c>
    </row>
    <row r="8" spans="1:3" ht="12.75">
      <c r="A8" s="1" t="s">
        <v>7</v>
      </c>
      <c r="C8" s="4" t="s">
        <v>438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" t="s">
        <v>439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25</v>
      </c>
      <c r="B17" s="1" t="s">
        <v>26</v>
      </c>
      <c r="C17" s="7"/>
    </row>
    <row r="18" spans="1:3" ht="12.75">
      <c r="A18" s="1" t="s">
        <v>27</v>
      </c>
      <c r="B18" s="1" t="s">
        <v>28</v>
      </c>
      <c r="C18" s="7"/>
    </row>
    <row r="19" spans="1:3" ht="12.75">
      <c r="A19" s="1" t="s">
        <v>29</v>
      </c>
      <c r="C19" s="7"/>
    </row>
    <row r="20" spans="1:3" ht="12.75">
      <c r="A20" s="1" t="s">
        <v>30</v>
      </c>
      <c r="B20" s="1" t="s">
        <v>31</v>
      </c>
      <c r="C20" s="7"/>
    </row>
    <row r="21" ht="12.75">
      <c r="C21" s="7"/>
    </row>
    <row r="22" spans="1:3" ht="12.75">
      <c r="A22" s="1" t="s">
        <v>32</v>
      </c>
      <c r="C22" s="71">
        <v>0.9016</v>
      </c>
    </row>
    <row r="23" spans="1:3" ht="12.75">
      <c r="A23" s="72"/>
      <c r="C23" s="7"/>
    </row>
    <row r="24" spans="1:3" ht="12.75" customHeight="1">
      <c r="A24" s="10" t="s">
        <v>33</v>
      </c>
      <c r="B24" s="10"/>
      <c r="C24" s="10"/>
    </row>
    <row r="26" spans="1:4" ht="12.75">
      <c r="A26" s="11" t="s">
        <v>34</v>
      </c>
      <c r="B26" s="11" t="s">
        <v>35</v>
      </c>
      <c r="C26" s="11" t="s">
        <v>36</v>
      </c>
      <c r="D26" s="12" t="s">
        <v>37</v>
      </c>
    </row>
    <row r="27" spans="1:4" ht="12.75">
      <c r="A27" s="13" t="s">
        <v>38</v>
      </c>
      <c r="B27" s="14" t="s">
        <v>39</v>
      </c>
      <c r="C27" s="15">
        <v>155.6</v>
      </c>
      <c r="D27" s="16" t="s">
        <v>40</v>
      </c>
    </row>
    <row r="28" spans="1:4" ht="12.75">
      <c r="A28" s="13" t="s">
        <v>41</v>
      </c>
      <c r="B28" s="14" t="s">
        <v>39</v>
      </c>
      <c r="C28" s="15">
        <v>155.6</v>
      </c>
      <c r="D28" s="16" t="s">
        <v>42</v>
      </c>
    </row>
    <row r="29" spans="1:4" ht="12.75">
      <c r="A29" s="13" t="s">
        <v>43</v>
      </c>
      <c r="B29" s="14" t="s">
        <v>39</v>
      </c>
      <c r="C29" s="15">
        <v>724</v>
      </c>
      <c r="D29" s="16" t="s">
        <v>44</v>
      </c>
    </row>
    <row r="30" spans="1:4" ht="12.75">
      <c r="A30" s="13" t="s">
        <v>45</v>
      </c>
      <c r="B30" s="14" t="s">
        <v>39</v>
      </c>
      <c r="C30" s="15">
        <v>1</v>
      </c>
      <c r="D30" s="16" t="s">
        <v>46</v>
      </c>
    </row>
    <row r="31" spans="1:4" ht="12.75">
      <c r="A31" s="13" t="s">
        <v>47</v>
      </c>
      <c r="B31" s="17" t="s">
        <v>39</v>
      </c>
      <c r="C31" s="15">
        <v>1.8</v>
      </c>
      <c r="D31" s="16" t="s">
        <v>48</v>
      </c>
    </row>
    <row r="32" spans="1:4" ht="12.75">
      <c r="A32" s="13" t="s">
        <v>49</v>
      </c>
      <c r="B32" s="17" t="s">
        <v>50</v>
      </c>
      <c r="C32" s="73">
        <v>155.6</v>
      </c>
      <c r="D32" s="16" t="s">
        <v>51</v>
      </c>
    </row>
    <row r="33" spans="1:4" ht="12.75">
      <c r="A33" s="13" t="s">
        <v>52</v>
      </c>
      <c r="B33" s="17" t="s">
        <v>39</v>
      </c>
      <c r="C33" s="15">
        <v>233.4</v>
      </c>
      <c r="D33" s="16" t="s">
        <v>53</v>
      </c>
    </row>
    <row r="34" spans="1:4" ht="12.75">
      <c r="A34" s="13" t="s">
        <v>54</v>
      </c>
      <c r="B34" s="17" t="s">
        <v>39</v>
      </c>
      <c r="C34" s="15"/>
      <c r="D34" s="16" t="s">
        <v>233</v>
      </c>
    </row>
    <row r="35" spans="1:4" ht="12.75">
      <c r="A35" s="13" t="s">
        <v>56</v>
      </c>
      <c r="B35" s="17" t="s">
        <v>39</v>
      </c>
      <c r="C35" s="15"/>
      <c r="D35" s="16" t="s">
        <v>233</v>
      </c>
    </row>
    <row r="36" spans="1:4" ht="12.75">
      <c r="A36" s="13" t="s">
        <v>59</v>
      </c>
      <c r="B36" s="17" t="s">
        <v>39</v>
      </c>
      <c r="C36" s="15"/>
      <c r="D36" s="16" t="s">
        <v>233</v>
      </c>
    </row>
    <row r="37" spans="1:4" ht="12.75">
      <c r="A37" s="13" t="s">
        <v>61</v>
      </c>
      <c r="B37" s="17" t="s">
        <v>39</v>
      </c>
      <c r="C37" s="15">
        <v>820</v>
      </c>
      <c r="D37" s="16" t="s">
        <v>46</v>
      </c>
    </row>
    <row r="38" spans="1:4" ht="12.75">
      <c r="A38" s="13" t="s">
        <v>62</v>
      </c>
      <c r="B38" s="17" t="s">
        <v>39</v>
      </c>
      <c r="C38" s="73">
        <v>155.6</v>
      </c>
      <c r="D38" s="16" t="s">
        <v>53</v>
      </c>
    </row>
    <row r="39" spans="1:4" ht="12.75">
      <c r="A39" s="13" t="s">
        <v>63</v>
      </c>
      <c r="B39" s="17" t="s">
        <v>39</v>
      </c>
      <c r="C39" s="15"/>
      <c r="D39" s="16" t="s">
        <v>233</v>
      </c>
    </row>
    <row r="40" spans="1:4" ht="12.75">
      <c r="A40" s="13" t="s">
        <v>64</v>
      </c>
      <c r="B40" s="17" t="s">
        <v>39</v>
      </c>
      <c r="C40" s="15"/>
      <c r="D40" s="16" t="s">
        <v>233</v>
      </c>
    </row>
    <row r="41" spans="1:4" ht="12.75">
      <c r="A41" s="13" t="s">
        <v>65</v>
      </c>
      <c r="B41" s="17" t="s">
        <v>39</v>
      </c>
      <c r="C41" s="15"/>
      <c r="D41" s="16" t="s">
        <v>233</v>
      </c>
    </row>
    <row r="42" spans="1:4" ht="12.75">
      <c r="A42" s="13" t="s">
        <v>66</v>
      </c>
      <c r="B42" s="17" t="s">
        <v>67</v>
      </c>
      <c r="C42" s="15"/>
      <c r="D42" s="16" t="s">
        <v>233</v>
      </c>
    </row>
    <row r="43" spans="1:4" ht="12.75">
      <c r="A43" s="13" t="s">
        <v>68</v>
      </c>
      <c r="B43" s="17" t="s">
        <v>67</v>
      </c>
      <c r="C43" s="15"/>
      <c r="D43" s="16" t="s">
        <v>233</v>
      </c>
    </row>
    <row r="44" spans="1:4" ht="12.75">
      <c r="A44" s="13" t="s">
        <v>70</v>
      </c>
      <c r="B44" s="17" t="s">
        <v>39</v>
      </c>
      <c r="C44" s="15"/>
      <c r="D44" s="16" t="s">
        <v>233</v>
      </c>
    </row>
    <row r="45" spans="1:4" ht="12.75">
      <c r="A45" s="13" t="s">
        <v>72</v>
      </c>
      <c r="B45" s="17" t="s">
        <v>39</v>
      </c>
      <c r="C45" s="15"/>
      <c r="D45" s="16" t="s">
        <v>233</v>
      </c>
    </row>
    <row r="46" spans="1:4" ht="25.5">
      <c r="A46" s="13" t="s">
        <v>73</v>
      </c>
      <c r="B46" s="17" t="s">
        <v>67</v>
      </c>
      <c r="C46" s="15"/>
      <c r="D46" s="16" t="s">
        <v>233</v>
      </c>
    </row>
    <row r="47" spans="1:4" ht="12.75">
      <c r="A47" s="13" t="s">
        <v>74</v>
      </c>
      <c r="B47" s="17" t="s">
        <v>39</v>
      </c>
      <c r="C47" s="15">
        <v>596</v>
      </c>
      <c r="D47" s="16" t="s">
        <v>60</v>
      </c>
    </row>
    <row r="48" spans="1:4" ht="12.75" customHeight="1">
      <c r="A48" s="18" t="s">
        <v>75</v>
      </c>
      <c r="B48" s="18"/>
      <c r="C48" s="18"/>
      <c r="D48" s="19"/>
    </row>
    <row r="49" spans="1:4" ht="12.75" customHeight="1">
      <c r="A49" s="20" t="s">
        <v>76</v>
      </c>
      <c r="B49" s="20"/>
      <c r="C49" s="20"/>
      <c r="D49" s="21"/>
    </row>
    <row r="50" spans="1:4" ht="12.75" customHeight="1">
      <c r="A50" s="22" t="s">
        <v>77</v>
      </c>
      <c r="B50" s="22"/>
      <c r="C50" s="22"/>
      <c r="D50" s="23"/>
    </row>
    <row r="51" spans="1:4" ht="25.5" customHeight="1">
      <c r="A51" s="13" t="s">
        <v>78</v>
      </c>
      <c r="B51" s="24" t="s">
        <v>79</v>
      </c>
      <c r="C51" s="24"/>
      <c r="D51" s="13" t="s">
        <v>80</v>
      </c>
    </row>
    <row r="52" spans="1:4" ht="25.5" customHeight="1">
      <c r="A52" s="13" t="s">
        <v>81</v>
      </c>
      <c r="B52" s="24" t="s">
        <v>79</v>
      </c>
      <c r="C52" s="24"/>
      <c r="D52" s="13" t="s">
        <v>80</v>
      </c>
    </row>
    <row r="53" spans="1:4" ht="25.5" customHeight="1">
      <c r="A53" s="13" t="s">
        <v>82</v>
      </c>
      <c r="B53" s="24" t="s">
        <v>79</v>
      </c>
      <c r="C53" s="24"/>
      <c r="D53" s="13" t="s">
        <v>83</v>
      </c>
    </row>
    <row r="54" spans="1:4" ht="25.5" customHeight="1">
      <c r="A54" s="13" t="s">
        <v>84</v>
      </c>
      <c r="B54" s="24" t="s">
        <v>79</v>
      </c>
      <c r="C54" s="24"/>
      <c r="D54" s="13" t="s">
        <v>83</v>
      </c>
    </row>
    <row r="55" spans="1:4" ht="24.75" customHeight="1">
      <c r="A55" s="13" t="s">
        <v>85</v>
      </c>
      <c r="B55" s="24" t="s">
        <v>79</v>
      </c>
      <c r="C55" s="24"/>
      <c r="D55" s="13" t="s">
        <v>86</v>
      </c>
    </row>
    <row r="56" spans="1:4" ht="30" customHeight="1">
      <c r="A56" s="13" t="s">
        <v>87</v>
      </c>
      <c r="B56" s="24" t="s">
        <v>79</v>
      </c>
      <c r="C56" s="24"/>
      <c r="D56" s="13" t="s">
        <v>88</v>
      </c>
    </row>
    <row r="57" spans="1:4" ht="25.5" customHeight="1">
      <c r="A57" s="13" t="s">
        <v>89</v>
      </c>
      <c r="B57" s="24" t="s">
        <v>79</v>
      </c>
      <c r="C57" s="24"/>
      <c r="D57" s="13" t="s">
        <v>40</v>
      </c>
    </row>
    <row r="58" spans="1:4" ht="25.5" customHeight="1">
      <c r="A58" s="13" t="s">
        <v>90</v>
      </c>
      <c r="B58" s="24" t="s">
        <v>79</v>
      </c>
      <c r="C58" s="24"/>
      <c r="D58" s="13" t="s">
        <v>88</v>
      </c>
    </row>
    <row r="59" spans="1:4" ht="25.5" customHeight="1">
      <c r="A59" s="13" t="s">
        <v>91</v>
      </c>
      <c r="B59" s="24" t="s">
        <v>79</v>
      </c>
      <c r="C59" s="24"/>
      <c r="D59" s="13" t="s">
        <v>92</v>
      </c>
    </row>
    <row r="60" spans="1:4" ht="24.75" customHeight="1">
      <c r="A60" s="13" t="s">
        <v>93</v>
      </c>
      <c r="B60" s="24" t="s">
        <v>79</v>
      </c>
      <c r="C60" s="24"/>
      <c r="D60" s="86" t="s">
        <v>94</v>
      </c>
    </row>
    <row r="61" spans="1:4" ht="12.75" customHeight="1">
      <c r="A61" s="28" t="s">
        <v>95</v>
      </c>
      <c r="B61" s="28"/>
      <c r="C61" s="29"/>
      <c r="D61" s="30"/>
    </row>
    <row r="62" spans="1:4" ht="27.75" customHeight="1">
      <c r="A62" s="13" t="s">
        <v>96</v>
      </c>
      <c r="B62" s="24" t="s">
        <v>79</v>
      </c>
      <c r="C62" s="24"/>
      <c r="D62" s="13" t="s">
        <v>88</v>
      </c>
    </row>
    <row r="63" spans="1:4" ht="25.5" customHeight="1">
      <c r="A63" s="13" t="s">
        <v>97</v>
      </c>
      <c r="B63" s="24" t="s">
        <v>79</v>
      </c>
      <c r="C63" s="24"/>
      <c r="D63" s="13" t="s">
        <v>98</v>
      </c>
    </row>
    <row r="64" spans="1:4" ht="25.5" customHeight="1">
      <c r="A64" s="13" t="s">
        <v>99</v>
      </c>
      <c r="B64" s="24" t="s">
        <v>79</v>
      </c>
      <c r="C64" s="24"/>
      <c r="D64" s="13" t="s">
        <v>100</v>
      </c>
    </row>
    <row r="65" spans="1:4" ht="27.75" customHeight="1">
      <c r="A65" s="13" t="s">
        <v>101</v>
      </c>
      <c r="B65" s="24" t="s">
        <v>79</v>
      </c>
      <c r="C65" s="24"/>
      <c r="D65" s="13" t="s">
        <v>88</v>
      </c>
    </row>
    <row r="66" spans="1:4" ht="26.25" customHeight="1">
      <c r="A66" s="13" t="s">
        <v>102</v>
      </c>
      <c r="B66" s="24" t="s">
        <v>79</v>
      </c>
      <c r="C66" s="24"/>
      <c r="D66" s="13" t="s">
        <v>60</v>
      </c>
    </row>
    <row r="67" spans="1:4" ht="30" customHeight="1">
      <c r="A67" s="13" t="s">
        <v>103</v>
      </c>
      <c r="B67" s="24" t="s">
        <v>79</v>
      </c>
      <c r="C67" s="24"/>
      <c r="D67" s="13" t="s">
        <v>104</v>
      </c>
    </row>
    <row r="68" spans="1:4" ht="25.5" customHeight="1">
      <c r="A68" s="13" t="s">
        <v>105</v>
      </c>
      <c r="B68" s="24" t="s">
        <v>79</v>
      </c>
      <c r="C68" s="24"/>
      <c r="D68" s="13" t="s">
        <v>106</v>
      </c>
    </row>
    <row r="69" spans="1:4" ht="25.5" customHeight="1">
      <c r="A69" s="13" t="s">
        <v>107</v>
      </c>
      <c r="B69" s="24" t="s">
        <v>79</v>
      </c>
      <c r="C69" s="24"/>
      <c r="D69" s="13" t="s">
        <v>108</v>
      </c>
    </row>
    <row r="70" spans="1:4" ht="24.75" customHeight="1">
      <c r="A70" s="13" t="s">
        <v>89</v>
      </c>
      <c r="B70" s="24" t="s">
        <v>79</v>
      </c>
      <c r="C70" s="24"/>
      <c r="D70" s="13" t="s">
        <v>40</v>
      </c>
    </row>
    <row r="71" spans="1:4" ht="25.5" customHeight="1">
      <c r="A71" s="13" t="s">
        <v>109</v>
      </c>
      <c r="B71" s="24" t="s">
        <v>79</v>
      </c>
      <c r="C71" s="24"/>
      <c r="D71" s="13" t="s">
        <v>108</v>
      </c>
    </row>
    <row r="72" spans="1:4" ht="12.75" customHeight="1">
      <c r="A72" s="28" t="s">
        <v>110</v>
      </c>
      <c r="B72" s="28"/>
      <c r="C72" s="31"/>
      <c r="D72" s="30"/>
    </row>
    <row r="73" spans="1:4" ht="27.75" customHeight="1">
      <c r="A73" s="13" t="s">
        <v>111</v>
      </c>
      <c r="B73" s="14" t="s">
        <v>112</v>
      </c>
      <c r="C73" s="15">
        <f>60*1.15*12</f>
        <v>828</v>
      </c>
      <c r="D73" s="74" t="s">
        <v>69</v>
      </c>
    </row>
    <row r="74" spans="1:4" ht="12.75">
      <c r="A74" s="13" t="s">
        <v>113</v>
      </c>
      <c r="B74" s="33" t="s">
        <v>112</v>
      </c>
      <c r="C74" s="15">
        <f>0.75*2*2*51</f>
        <v>153</v>
      </c>
      <c r="D74" s="74" t="s">
        <v>114</v>
      </c>
    </row>
    <row r="75" spans="1:4" ht="25.5">
      <c r="A75" s="13" t="s">
        <v>115</v>
      </c>
      <c r="B75" s="14" t="s">
        <v>67</v>
      </c>
      <c r="C75" s="15">
        <v>4</v>
      </c>
      <c r="D75" s="74" t="s">
        <v>116</v>
      </c>
    </row>
    <row r="76" spans="1:4" ht="12.75" customHeight="1">
      <c r="A76" s="28" t="s">
        <v>117</v>
      </c>
      <c r="B76" s="28"/>
      <c r="C76" s="29"/>
      <c r="D76" s="146"/>
    </row>
    <row r="77" spans="1:4" ht="12.75">
      <c r="A77" s="35" t="s">
        <v>118</v>
      </c>
      <c r="B77" s="36"/>
      <c r="C77" s="37"/>
      <c r="D77" s="45"/>
    </row>
    <row r="78" spans="1:4" ht="12.75">
      <c r="A78" s="39" t="s">
        <v>393</v>
      </c>
      <c r="B78" s="40" t="s">
        <v>39</v>
      </c>
      <c r="C78" s="41">
        <v>4</v>
      </c>
      <c r="D78" s="42"/>
    </row>
    <row r="79" spans="1:4" ht="12.75">
      <c r="A79" s="39" t="s">
        <v>265</v>
      </c>
      <c r="B79" s="40" t="s">
        <v>67</v>
      </c>
      <c r="C79" s="41">
        <v>10</v>
      </c>
      <c r="D79" s="42"/>
    </row>
    <row r="80" spans="1:4" ht="12.75">
      <c r="A80" s="35" t="s">
        <v>235</v>
      </c>
      <c r="B80" s="36"/>
      <c r="C80" s="36"/>
      <c r="D80" s="45"/>
    </row>
    <row r="81" spans="1:4" ht="12.75">
      <c r="A81" s="39" t="s">
        <v>440</v>
      </c>
      <c r="B81" s="40" t="s">
        <v>39</v>
      </c>
      <c r="C81" s="41">
        <v>3</v>
      </c>
      <c r="D81" s="42"/>
    </row>
    <row r="82" spans="1:4" ht="12.75">
      <c r="A82" s="39" t="s">
        <v>236</v>
      </c>
      <c r="B82" s="40" t="s">
        <v>67</v>
      </c>
      <c r="C82" s="41">
        <f>1</f>
        <v>1</v>
      </c>
      <c r="D82" s="42"/>
    </row>
    <row r="83" spans="1:4" ht="12.75">
      <c r="A83" s="88" t="s">
        <v>386</v>
      </c>
      <c r="B83" s="40" t="s">
        <v>39</v>
      </c>
      <c r="C83" s="41">
        <f>0.6+0.5+0.4</f>
        <v>1.5</v>
      </c>
      <c r="D83" s="42"/>
    </row>
    <row r="84" spans="1:4" ht="12.75">
      <c r="A84" s="88" t="s">
        <v>325</v>
      </c>
      <c r="B84" s="40" t="s">
        <v>67</v>
      </c>
      <c r="C84" s="41">
        <v>2</v>
      </c>
      <c r="D84" s="42"/>
    </row>
    <row r="85" spans="1:4" ht="12.75">
      <c r="A85" s="35" t="s">
        <v>126</v>
      </c>
      <c r="B85" s="36"/>
      <c r="C85" s="36"/>
      <c r="D85" s="45"/>
    </row>
    <row r="86" spans="1:4" ht="12.75">
      <c r="A86" s="43" t="s">
        <v>128</v>
      </c>
      <c r="B86" s="46" t="s">
        <v>67</v>
      </c>
      <c r="C86" s="41">
        <f>1+1</f>
        <v>2</v>
      </c>
      <c r="D86" s="42"/>
    </row>
    <row r="87" spans="1:4" ht="12.75">
      <c r="A87" s="43" t="s">
        <v>129</v>
      </c>
      <c r="B87" s="40" t="s">
        <v>67</v>
      </c>
      <c r="C87" s="41">
        <f>2+2+2+1+1</f>
        <v>8</v>
      </c>
      <c r="D87" s="42"/>
    </row>
    <row r="88" spans="1:4" ht="12.75">
      <c r="A88" s="43" t="s">
        <v>254</v>
      </c>
      <c r="B88" s="40" t="s">
        <v>67</v>
      </c>
      <c r="C88" s="41">
        <v>1</v>
      </c>
      <c r="D88" s="42"/>
    </row>
    <row r="89" spans="1:4" ht="12.75">
      <c r="A89" s="43" t="s">
        <v>134</v>
      </c>
      <c r="B89" s="40" t="s">
        <v>39</v>
      </c>
      <c r="C89" s="41">
        <f>3.1</f>
        <v>3.1</v>
      </c>
      <c r="D89" s="42"/>
    </row>
    <row r="90" spans="1:4" ht="12.75">
      <c r="A90" s="88" t="s">
        <v>267</v>
      </c>
      <c r="B90" s="40" t="s">
        <v>122</v>
      </c>
      <c r="C90" s="41">
        <f>2</f>
        <v>2</v>
      </c>
      <c r="D90" s="42"/>
    </row>
    <row r="91" spans="1:4" ht="12.75">
      <c r="A91" s="35" t="s">
        <v>238</v>
      </c>
      <c r="B91" s="36"/>
      <c r="C91" s="36"/>
      <c r="D91" s="45"/>
    </row>
    <row r="92" spans="1:4" ht="12.75">
      <c r="A92" s="43" t="s">
        <v>395</v>
      </c>
      <c r="B92" s="40" t="s">
        <v>39</v>
      </c>
      <c r="C92" s="40">
        <f>36+2</f>
        <v>38</v>
      </c>
      <c r="D92" s="42"/>
    </row>
    <row r="93" spans="1:4" ht="12.75">
      <c r="A93" s="35" t="s">
        <v>213</v>
      </c>
      <c r="B93" s="36"/>
      <c r="C93" s="36"/>
      <c r="D93" s="45"/>
    </row>
    <row r="94" spans="1:4" ht="12.75">
      <c r="A94" s="80" t="s">
        <v>241</v>
      </c>
      <c r="B94" s="41" t="s">
        <v>67</v>
      </c>
      <c r="C94" s="41">
        <f>1+1</f>
        <v>2</v>
      </c>
      <c r="D94" s="42"/>
    </row>
    <row r="95" spans="1:4" ht="12.75">
      <c r="A95" s="80" t="s">
        <v>396</v>
      </c>
      <c r="B95" s="41" t="s">
        <v>67</v>
      </c>
      <c r="C95" s="41">
        <f>2</f>
        <v>2</v>
      </c>
      <c r="D95" s="42"/>
    </row>
    <row r="96" spans="1:4" ht="12.75">
      <c r="A96" s="80" t="s">
        <v>397</v>
      </c>
      <c r="B96" s="41" t="s">
        <v>39</v>
      </c>
      <c r="C96" s="41">
        <f>1.3</f>
        <v>1.3</v>
      </c>
      <c r="D96" s="42"/>
    </row>
    <row r="97" spans="1:4" ht="12.75">
      <c r="A97" s="49" t="s">
        <v>141</v>
      </c>
      <c r="B97" s="36"/>
      <c r="C97" s="50"/>
      <c r="D97" s="45"/>
    </row>
    <row r="98" spans="1:4" ht="12.75">
      <c r="A98" s="51" t="s">
        <v>441</v>
      </c>
      <c r="B98" s="41" t="s">
        <v>67</v>
      </c>
      <c r="C98" s="41">
        <v>1</v>
      </c>
      <c r="D98" s="42"/>
    </row>
    <row r="99" spans="1:4" ht="12.75">
      <c r="A99" s="51" t="s">
        <v>193</v>
      </c>
      <c r="B99" s="41" t="s">
        <v>67</v>
      </c>
      <c r="C99" s="41">
        <f>1</f>
        <v>1</v>
      </c>
      <c r="D99" s="42"/>
    </row>
    <row r="100" spans="1:4" ht="12.75">
      <c r="A100" s="51" t="s">
        <v>399</v>
      </c>
      <c r="B100" s="41" t="s">
        <v>39</v>
      </c>
      <c r="C100" s="41">
        <f>5+23</f>
        <v>28</v>
      </c>
      <c r="D100" s="42"/>
    </row>
    <row r="101" spans="1:4" ht="12.75">
      <c r="A101" s="49" t="s">
        <v>145</v>
      </c>
      <c r="B101" s="36"/>
      <c r="C101" s="36"/>
      <c r="D101" s="45"/>
    </row>
    <row r="102" spans="1:4" ht="12.75">
      <c r="A102" s="52" t="s">
        <v>149</v>
      </c>
      <c r="B102" s="40" t="s">
        <v>67</v>
      </c>
      <c r="C102" s="40">
        <v>4</v>
      </c>
      <c r="D102" s="42"/>
    </row>
    <row r="103" spans="1:4" ht="12.75">
      <c r="A103" s="52" t="s">
        <v>198</v>
      </c>
      <c r="B103" s="41" t="s">
        <v>67</v>
      </c>
      <c r="C103" s="40">
        <v>6</v>
      </c>
      <c r="D103" s="42"/>
    </row>
    <row r="104" spans="1:4" ht="12.75">
      <c r="A104" s="49" t="s">
        <v>157</v>
      </c>
      <c r="B104" s="36"/>
      <c r="C104" s="36"/>
      <c r="D104" s="45"/>
    </row>
    <row r="105" spans="1:4" s="1" customFormat="1" ht="12.75">
      <c r="A105" s="80" t="s">
        <v>202</v>
      </c>
      <c r="B105" s="41" t="s">
        <v>39</v>
      </c>
      <c r="C105" s="41">
        <v>250</v>
      </c>
      <c r="D105" s="44"/>
    </row>
    <row r="106" spans="1:4" s="1" customFormat="1" ht="12.75">
      <c r="A106" s="80" t="s">
        <v>400</v>
      </c>
      <c r="B106" s="41" t="s">
        <v>39</v>
      </c>
      <c r="C106" s="41">
        <v>276</v>
      </c>
      <c r="D106" s="68" t="s">
        <v>130</v>
      </c>
    </row>
    <row r="107" spans="1:4" ht="12.75">
      <c r="A107" s="49" t="s">
        <v>161</v>
      </c>
      <c r="B107" s="36"/>
      <c r="C107" s="116"/>
      <c r="D107" s="45"/>
    </row>
    <row r="108" spans="1:4" ht="12.75">
      <c r="A108" s="54" t="s">
        <v>162</v>
      </c>
      <c r="B108" s="58" t="s">
        <v>401</v>
      </c>
      <c r="C108" s="56">
        <v>1</v>
      </c>
      <c r="D108" s="68" t="s">
        <v>44</v>
      </c>
    </row>
    <row r="109" spans="1:4" ht="12.75">
      <c r="A109" s="54" t="s">
        <v>163</v>
      </c>
      <c r="B109" s="58" t="s">
        <v>401</v>
      </c>
      <c r="C109" s="56">
        <v>1</v>
      </c>
      <c r="D109" s="89" t="s">
        <v>164</v>
      </c>
    </row>
    <row r="110" spans="1:4" ht="12.75">
      <c r="A110" s="49" t="s">
        <v>165</v>
      </c>
      <c r="B110" s="144"/>
      <c r="C110" s="36"/>
      <c r="D110" s="45"/>
    </row>
    <row r="111" spans="1:4" ht="12.75">
      <c r="A111" s="54" t="s">
        <v>162</v>
      </c>
      <c r="B111" s="58" t="s">
        <v>401</v>
      </c>
      <c r="C111" s="56">
        <v>1</v>
      </c>
      <c r="D111" s="68" t="s">
        <v>44</v>
      </c>
    </row>
    <row r="112" spans="1:4" ht="12.75">
      <c r="A112" s="54" t="s">
        <v>163</v>
      </c>
      <c r="B112" s="58" t="s">
        <v>401</v>
      </c>
      <c r="C112" s="56">
        <v>1</v>
      </c>
      <c r="D112" s="89" t="s">
        <v>164</v>
      </c>
    </row>
    <row r="113" spans="1:4" ht="12.75">
      <c r="A113" s="49" t="s">
        <v>166</v>
      </c>
      <c r="B113" s="144"/>
      <c r="C113" s="36"/>
      <c r="D113" s="45"/>
    </row>
    <row r="114" spans="1:4" ht="12.75">
      <c r="A114" s="54" t="s">
        <v>162</v>
      </c>
      <c r="B114" s="56" t="s">
        <v>39</v>
      </c>
      <c r="C114" s="56">
        <f>89.7+86.6</f>
        <v>176.3</v>
      </c>
      <c r="D114" s="47" t="s">
        <v>175</v>
      </c>
    </row>
    <row r="115" spans="1:4" ht="12.75">
      <c r="A115" s="54" t="s">
        <v>163</v>
      </c>
      <c r="B115" s="56" t="s">
        <v>39</v>
      </c>
      <c r="C115" s="56">
        <f>89.7+86.6</f>
        <v>176.3</v>
      </c>
      <c r="D115" s="89" t="s">
        <v>164</v>
      </c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4:C24"/>
    <mergeCell ref="A48:C48"/>
    <mergeCell ref="A49:C49"/>
    <mergeCell ref="A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B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72:B72"/>
    <mergeCell ref="A76:B76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4"/>
  </sheetPr>
  <dimension ref="A1:F113"/>
  <sheetViews>
    <sheetView workbookViewId="0" topLeftCell="A79">
      <selection activeCell="A113" sqref="A113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442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443</v>
      </c>
    </row>
    <row r="8" spans="1:3" ht="12.75">
      <c r="A8" s="1" t="s">
        <v>7</v>
      </c>
      <c r="C8" s="4" t="s">
        <v>444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" t="s">
        <v>445</v>
      </c>
    </row>
    <row r="12" spans="1:3" ht="12.75">
      <c r="A12" s="1" t="s">
        <v>13</v>
      </c>
      <c r="C12" s="83"/>
    </row>
    <row r="13" spans="1:3" ht="12.75">
      <c r="A13" s="1" t="s">
        <v>14</v>
      </c>
      <c r="C13" s="83"/>
    </row>
    <row r="14" spans="1:3" ht="12.75">
      <c r="A14" s="1" t="s">
        <v>15</v>
      </c>
      <c r="B14" s="1" t="s">
        <v>16</v>
      </c>
      <c r="C14" s="83"/>
    </row>
    <row r="15" spans="1:3" ht="12.75">
      <c r="A15" s="1" t="s">
        <v>17</v>
      </c>
      <c r="B15" s="1" t="s">
        <v>18</v>
      </c>
      <c r="C15" s="83"/>
    </row>
    <row r="16" spans="1:3" ht="12.75">
      <c r="A16" s="1" t="s">
        <v>19</v>
      </c>
      <c r="B16" s="1" t="s">
        <v>20</v>
      </c>
      <c r="C16" s="83"/>
    </row>
    <row r="17" spans="1:3" ht="12.75">
      <c r="A17" s="1" t="s">
        <v>25</v>
      </c>
      <c r="B17" s="1" t="s">
        <v>26</v>
      </c>
      <c r="C17" s="83"/>
    </row>
    <row r="18" spans="1:3" ht="12.75">
      <c r="A18" s="1" t="s">
        <v>27</v>
      </c>
      <c r="B18" s="1" t="s">
        <v>28</v>
      </c>
      <c r="C18" s="83"/>
    </row>
    <row r="19" spans="1:3" ht="12.75">
      <c r="A19" s="1" t="s">
        <v>29</v>
      </c>
      <c r="C19" s="7"/>
    </row>
    <row r="20" spans="1:3" ht="12.75">
      <c r="A20" s="1" t="s">
        <v>30</v>
      </c>
      <c r="B20" s="1" t="s">
        <v>31</v>
      </c>
      <c r="C20" s="7"/>
    </row>
    <row r="21" ht="12.75">
      <c r="C21" s="7"/>
    </row>
    <row r="22" spans="1:3" ht="12.75">
      <c r="A22" s="1" t="s">
        <v>32</v>
      </c>
      <c r="C22" s="71">
        <v>0.6635</v>
      </c>
    </row>
    <row r="23" spans="1:3" ht="12.75">
      <c r="A23" s="72"/>
      <c r="C23" s="7"/>
    </row>
    <row r="24" spans="1:3" ht="12.75" customHeight="1">
      <c r="A24" s="10" t="s">
        <v>33</v>
      </c>
      <c r="B24" s="10"/>
      <c r="C24" s="10"/>
    </row>
    <row r="26" spans="1:4" ht="12.75">
      <c r="A26" s="11" t="s">
        <v>34</v>
      </c>
      <c r="B26" s="11" t="s">
        <v>35</v>
      </c>
      <c r="C26" s="11" t="s">
        <v>36</v>
      </c>
      <c r="D26" s="12" t="s">
        <v>37</v>
      </c>
    </row>
    <row r="27" spans="1:4" ht="12.75">
      <c r="A27" s="13" t="s">
        <v>38</v>
      </c>
      <c r="B27" s="14" t="s">
        <v>39</v>
      </c>
      <c r="C27" s="15">
        <v>162.5</v>
      </c>
      <c r="D27" s="16" t="s">
        <v>40</v>
      </c>
    </row>
    <row r="28" spans="1:4" ht="12.75">
      <c r="A28" s="13" t="s">
        <v>41</v>
      </c>
      <c r="B28" s="14" t="s">
        <v>39</v>
      </c>
      <c r="C28" s="73">
        <v>162.5</v>
      </c>
      <c r="D28" s="16" t="s">
        <v>42</v>
      </c>
    </row>
    <row r="29" spans="1:4" ht="12.75">
      <c r="A29" s="13" t="s">
        <v>43</v>
      </c>
      <c r="B29" s="14" t="s">
        <v>39</v>
      </c>
      <c r="C29" s="123">
        <v>734</v>
      </c>
      <c r="D29" s="16" t="s">
        <v>44</v>
      </c>
    </row>
    <row r="30" spans="1:4" ht="12.75">
      <c r="A30" s="13" t="s">
        <v>45</v>
      </c>
      <c r="B30" s="14" t="s">
        <v>39</v>
      </c>
      <c r="C30" s="15">
        <v>1</v>
      </c>
      <c r="D30" s="16" t="s">
        <v>46</v>
      </c>
    </row>
    <row r="31" spans="1:4" ht="12.75">
      <c r="A31" s="13" t="s">
        <v>47</v>
      </c>
      <c r="B31" s="17" t="s">
        <v>39</v>
      </c>
      <c r="C31" s="15">
        <v>1.8</v>
      </c>
      <c r="D31" s="16" t="s">
        <v>48</v>
      </c>
    </row>
    <row r="32" spans="1:4" ht="12.75">
      <c r="A32" s="13" t="s">
        <v>49</v>
      </c>
      <c r="B32" s="17" t="s">
        <v>50</v>
      </c>
      <c r="C32" s="73">
        <v>162.5</v>
      </c>
      <c r="D32" s="16" t="s">
        <v>51</v>
      </c>
    </row>
    <row r="33" spans="1:4" ht="12.75">
      <c r="A33" s="13" t="s">
        <v>52</v>
      </c>
      <c r="B33" s="17" t="s">
        <v>39</v>
      </c>
      <c r="C33" s="15">
        <v>243.75</v>
      </c>
      <c r="D33" s="16" t="s">
        <v>53</v>
      </c>
    </row>
    <row r="34" spans="1:4" ht="12.75">
      <c r="A34" s="13" t="s">
        <v>54</v>
      </c>
      <c r="B34" s="17" t="s">
        <v>39</v>
      </c>
      <c r="C34" s="15"/>
      <c r="D34" s="16" t="s">
        <v>233</v>
      </c>
    </row>
    <row r="35" spans="1:4" ht="12.75">
      <c r="A35" s="13" t="s">
        <v>56</v>
      </c>
      <c r="B35" s="17" t="s">
        <v>39</v>
      </c>
      <c r="C35" s="15"/>
      <c r="D35" s="16" t="s">
        <v>233</v>
      </c>
    </row>
    <row r="36" spans="1:4" ht="12.75">
      <c r="A36" s="13" t="s">
        <v>59</v>
      </c>
      <c r="B36" s="17" t="s">
        <v>39</v>
      </c>
      <c r="C36" s="15"/>
      <c r="D36" s="16" t="s">
        <v>233</v>
      </c>
    </row>
    <row r="37" spans="1:4" ht="12.75">
      <c r="A37" s="13" t="s">
        <v>61</v>
      </c>
      <c r="B37" s="17" t="s">
        <v>39</v>
      </c>
      <c r="C37" s="15">
        <v>815</v>
      </c>
      <c r="D37" s="16" t="s">
        <v>46</v>
      </c>
    </row>
    <row r="38" spans="1:4" ht="12.75">
      <c r="A38" s="13" t="s">
        <v>62</v>
      </c>
      <c r="B38" s="17" t="s">
        <v>39</v>
      </c>
      <c r="C38" s="73">
        <v>162.5</v>
      </c>
      <c r="D38" s="16" t="s">
        <v>53</v>
      </c>
    </row>
    <row r="39" spans="1:4" ht="12.75">
      <c r="A39" s="13" t="s">
        <v>63</v>
      </c>
      <c r="B39" s="17" t="s">
        <v>39</v>
      </c>
      <c r="C39" s="15"/>
      <c r="D39" s="16" t="s">
        <v>233</v>
      </c>
    </row>
    <row r="40" spans="1:4" ht="12.75">
      <c r="A40" s="13" t="s">
        <v>64</v>
      </c>
      <c r="B40" s="17" t="s">
        <v>39</v>
      </c>
      <c r="C40" s="15"/>
      <c r="D40" s="16" t="s">
        <v>233</v>
      </c>
    </row>
    <row r="41" spans="1:4" ht="12.75">
      <c r="A41" s="13" t="s">
        <v>65</v>
      </c>
      <c r="B41" s="17" t="s">
        <v>39</v>
      </c>
      <c r="C41" s="15"/>
      <c r="D41" s="16" t="s">
        <v>233</v>
      </c>
    </row>
    <row r="42" spans="1:4" ht="12.75">
      <c r="A42" s="13" t="s">
        <v>66</v>
      </c>
      <c r="B42" s="17" t="s">
        <v>67</v>
      </c>
      <c r="C42" s="15"/>
      <c r="D42" s="16" t="s">
        <v>233</v>
      </c>
    </row>
    <row r="43" spans="1:4" ht="12.75">
      <c r="A43" s="13" t="s">
        <v>68</v>
      </c>
      <c r="B43" s="17" t="s">
        <v>67</v>
      </c>
      <c r="C43" s="15"/>
      <c r="D43" s="16" t="s">
        <v>233</v>
      </c>
    </row>
    <row r="44" spans="1:4" ht="12.75">
      <c r="A44" s="13" t="s">
        <v>70</v>
      </c>
      <c r="B44" s="17" t="s">
        <v>39</v>
      </c>
      <c r="C44" s="15"/>
      <c r="D44" s="16" t="s">
        <v>233</v>
      </c>
    </row>
    <row r="45" spans="1:4" ht="12.75">
      <c r="A45" s="13" t="s">
        <v>72</v>
      </c>
      <c r="B45" s="17" t="s">
        <v>39</v>
      </c>
      <c r="C45" s="15"/>
      <c r="D45" s="16" t="s">
        <v>233</v>
      </c>
    </row>
    <row r="46" spans="1:4" ht="12.75">
      <c r="A46" s="13" t="s">
        <v>73</v>
      </c>
      <c r="B46" s="17" t="s">
        <v>67</v>
      </c>
      <c r="C46" s="15"/>
      <c r="D46" s="16" t="s">
        <v>233</v>
      </c>
    </row>
    <row r="47" spans="1:4" ht="12.75">
      <c r="A47" s="13" t="s">
        <v>74</v>
      </c>
      <c r="B47" s="17" t="s">
        <v>39</v>
      </c>
      <c r="C47" s="15">
        <v>589</v>
      </c>
      <c r="D47" s="16" t="s">
        <v>60</v>
      </c>
    </row>
    <row r="48" spans="1:4" ht="12.75" customHeight="1">
      <c r="A48" s="18" t="s">
        <v>75</v>
      </c>
      <c r="B48" s="18"/>
      <c r="C48" s="18"/>
      <c r="D48" s="19"/>
    </row>
    <row r="49" spans="1:4" ht="12.75" customHeight="1">
      <c r="A49" s="20" t="s">
        <v>76</v>
      </c>
      <c r="B49" s="20"/>
      <c r="C49" s="20"/>
      <c r="D49" s="21"/>
    </row>
    <row r="50" spans="1:4" ht="12.75" customHeight="1">
      <c r="A50" s="22" t="s">
        <v>77</v>
      </c>
      <c r="B50" s="22"/>
      <c r="C50" s="22"/>
      <c r="D50" s="23"/>
    </row>
    <row r="51" spans="1:4" ht="25.5" customHeight="1">
      <c r="A51" s="13" t="s">
        <v>78</v>
      </c>
      <c r="B51" s="24" t="s">
        <v>79</v>
      </c>
      <c r="C51" s="24"/>
      <c r="D51" s="13" t="s">
        <v>80</v>
      </c>
    </row>
    <row r="52" spans="1:4" ht="25.5" customHeight="1">
      <c r="A52" s="13" t="s">
        <v>81</v>
      </c>
      <c r="B52" s="24" t="s">
        <v>79</v>
      </c>
      <c r="C52" s="24"/>
      <c r="D52" s="13" t="s">
        <v>80</v>
      </c>
    </row>
    <row r="53" spans="1:4" ht="25.5" customHeight="1">
      <c r="A53" s="13" t="s">
        <v>82</v>
      </c>
      <c r="B53" s="24" t="s">
        <v>79</v>
      </c>
      <c r="C53" s="24"/>
      <c r="D53" s="13" t="s">
        <v>83</v>
      </c>
    </row>
    <row r="54" spans="1:4" ht="25.5" customHeight="1">
      <c r="A54" s="13" t="s">
        <v>84</v>
      </c>
      <c r="B54" s="24" t="s">
        <v>79</v>
      </c>
      <c r="C54" s="24"/>
      <c r="D54" s="13" t="s">
        <v>83</v>
      </c>
    </row>
    <row r="55" spans="1:4" ht="25.5" customHeight="1">
      <c r="A55" s="13" t="s">
        <v>85</v>
      </c>
      <c r="B55" s="24" t="s">
        <v>79</v>
      </c>
      <c r="C55" s="24"/>
      <c r="D55" s="13" t="s">
        <v>86</v>
      </c>
    </row>
    <row r="56" spans="1:4" ht="30.75" customHeight="1">
      <c r="A56" s="13" t="s">
        <v>87</v>
      </c>
      <c r="B56" s="24" t="s">
        <v>79</v>
      </c>
      <c r="C56" s="24"/>
      <c r="D56" s="13" t="s">
        <v>88</v>
      </c>
    </row>
    <row r="57" spans="1:4" ht="25.5" customHeight="1">
      <c r="A57" s="13" t="s">
        <v>89</v>
      </c>
      <c r="B57" s="24" t="s">
        <v>79</v>
      </c>
      <c r="C57" s="24"/>
      <c r="D57" s="13" t="s">
        <v>40</v>
      </c>
    </row>
    <row r="58" spans="1:4" ht="25.5" customHeight="1">
      <c r="A58" s="13" t="s">
        <v>90</v>
      </c>
      <c r="B58" s="24" t="s">
        <v>79</v>
      </c>
      <c r="C58" s="24"/>
      <c r="D58" s="13" t="s">
        <v>88</v>
      </c>
    </row>
    <row r="59" spans="1:4" ht="25.5" customHeight="1">
      <c r="A59" s="13" t="s">
        <v>91</v>
      </c>
      <c r="B59" s="24" t="s">
        <v>79</v>
      </c>
      <c r="C59" s="24"/>
      <c r="D59" s="13" t="s">
        <v>92</v>
      </c>
    </row>
    <row r="60" spans="1:4" ht="29.25" customHeight="1">
      <c r="A60" s="13" t="s">
        <v>93</v>
      </c>
      <c r="B60" s="24" t="s">
        <v>79</v>
      </c>
      <c r="C60" s="24"/>
      <c r="D60" s="86" t="s">
        <v>94</v>
      </c>
    </row>
    <row r="61" spans="1:4" ht="12.75" customHeight="1">
      <c r="A61" s="28" t="s">
        <v>95</v>
      </c>
      <c r="B61" s="28"/>
      <c r="C61" s="29"/>
      <c r="D61" s="30"/>
    </row>
    <row r="62" spans="1:4" ht="27.75" customHeight="1">
      <c r="A62" s="13" t="s">
        <v>96</v>
      </c>
      <c r="B62" s="24" t="s">
        <v>79</v>
      </c>
      <c r="C62" s="24"/>
      <c r="D62" s="13" t="s">
        <v>88</v>
      </c>
    </row>
    <row r="63" spans="1:4" ht="25.5" customHeight="1">
      <c r="A63" s="13" t="s">
        <v>97</v>
      </c>
      <c r="B63" s="24" t="s">
        <v>79</v>
      </c>
      <c r="C63" s="24"/>
      <c r="D63" s="13" t="s">
        <v>98</v>
      </c>
    </row>
    <row r="64" spans="1:4" ht="25.5" customHeight="1">
      <c r="A64" s="13" t="s">
        <v>99</v>
      </c>
      <c r="B64" s="24" t="s">
        <v>79</v>
      </c>
      <c r="C64" s="24"/>
      <c r="D64" s="13" t="s">
        <v>100</v>
      </c>
    </row>
    <row r="65" spans="1:4" ht="27.75" customHeight="1">
      <c r="A65" s="13" t="s">
        <v>101</v>
      </c>
      <c r="B65" s="24" t="s">
        <v>79</v>
      </c>
      <c r="C65" s="24"/>
      <c r="D65" s="13" t="s">
        <v>88</v>
      </c>
    </row>
    <row r="66" spans="1:4" ht="26.25" customHeight="1">
      <c r="A66" s="13" t="s">
        <v>102</v>
      </c>
      <c r="B66" s="24" t="s">
        <v>79</v>
      </c>
      <c r="C66" s="24"/>
      <c r="D66" s="13" t="s">
        <v>60</v>
      </c>
    </row>
    <row r="67" spans="1:4" ht="30" customHeight="1">
      <c r="A67" s="13" t="s">
        <v>103</v>
      </c>
      <c r="B67" s="24" t="s">
        <v>79</v>
      </c>
      <c r="C67" s="24"/>
      <c r="D67" s="13" t="s">
        <v>104</v>
      </c>
    </row>
    <row r="68" spans="1:4" ht="25.5" customHeight="1">
      <c r="A68" s="13" t="s">
        <v>105</v>
      </c>
      <c r="B68" s="24" t="s">
        <v>79</v>
      </c>
      <c r="C68" s="24"/>
      <c r="D68" s="13" t="s">
        <v>106</v>
      </c>
    </row>
    <row r="69" spans="1:6" ht="25.5" customHeight="1">
      <c r="A69" s="13" t="s">
        <v>107</v>
      </c>
      <c r="B69" s="24" t="s">
        <v>79</v>
      </c>
      <c r="C69" s="24"/>
      <c r="D69" s="13" t="s">
        <v>108</v>
      </c>
      <c r="F69" s="1"/>
    </row>
    <row r="70" spans="1:4" ht="24.75" customHeight="1">
      <c r="A70" s="13" t="s">
        <v>89</v>
      </c>
      <c r="B70" s="24" t="s">
        <v>79</v>
      </c>
      <c r="C70" s="24"/>
      <c r="D70" s="13" t="s">
        <v>40</v>
      </c>
    </row>
    <row r="71" spans="1:4" ht="25.5" customHeight="1">
      <c r="A71" s="13" t="s">
        <v>109</v>
      </c>
      <c r="B71" s="24" t="s">
        <v>79</v>
      </c>
      <c r="C71" s="24"/>
      <c r="D71" s="13" t="s">
        <v>108</v>
      </c>
    </row>
    <row r="72" spans="1:4" ht="12.75" customHeight="1">
      <c r="A72" s="28" t="s">
        <v>110</v>
      </c>
      <c r="B72" s="28"/>
      <c r="C72" s="31"/>
      <c r="D72" s="30"/>
    </row>
    <row r="73" spans="1:4" ht="27.75" customHeight="1">
      <c r="A73" s="13" t="s">
        <v>111</v>
      </c>
      <c r="B73" s="14" t="s">
        <v>112</v>
      </c>
      <c r="C73" s="15">
        <f>50*1.15*12</f>
        <v>689.9999999999999</v>
      </c>
      <c r="D73" s="74" t="s">
        <v>69</v>
      </c>
    </row>
    <row r="74" spans="1:4" ht="12.75">
      <c r="A74" s="13" t="s">
        <v>113</v>
      </c>
      <c r="B74" s="33" t="s">
        <v>112</v>
      </c>
      <c r="C74" s="15">
        <f>0.75*2*2*51</f>
        <v>153</v>
      </c>
      <c r="D74" s="74" t="s">
        <v>114</v>
      </c>
    </row>
    <row r="75" spans="1:4" ht="25.5">
      <c r="A75" s="13" t="s">
        <v>115</v>
      </c>
      <c r="B75" s="14" t="s">
        <v>67</v>
      </c>
      <c r="C75" s="15">
        <v>4</v>
      </c>
      <c r="D75" s="74" t="s">
        <v>116</v>
      </c>
    </row>
    <row r="76" spans="1:4" ht="12.75" customHeight="1">
      <c r="A76" s="28" t="s">
        <v>117</v>
      </c>
      <c r="B76" s="28"/>
      <c r="C76" s="29"/>
      <c r="D76" s="30"/>
    </row>
    <row r="77" spans="1:4" ht="12.75">
      <c r="A77" s="35" t="s">
        <v>118</v>
      </c>
      <c r="B77" s="36"/>
      <c r="C77" s="37"/>
      <c r="D77" s="38"/>
    </row>
    <row r="78" spans="1:4" ht="12.75">
      <c r="A78" s="39" t="s">
        <v>393</v>
      </c>
      <c r="B78" s="40" t="s">
        <v>39</v>
      </c>
      <c r="C78" s="41">
        <v>5</v>
      </c>
      <c r="D78" s="42"/>
    </row>
    <row r="79" spans="1:4" ht="12.75">
      <c r="A79" s="39" t="s">
        <v>446</v>
      </c>
      <c r="B79" s="40" t="s">
        <v>67</v>
      </c>
      <c r="C79" s="41">
        <v>8</v>
      </c>
      <c r="D79" s="42"/>
    </row>
    <row r="80" spans="1:4" ht="12.75">
      <c r="A80" s="35" t="s">
        <v>235</v>
      </c>
      <c r="B80" s="36"/>
      <c r="C80" s="36"/>
      <c r="D80" s="45"/>
    </row>
    <row r="81" spans="1:4" ht="12.75">
      <c r="A81" s="88" t="s">
        <v>386</v>
      </c>
      <c r="B81" s="40" t="s">
        <v>39</v>
      </c>
      <c r="C81" s="41">
        <f>0.5</f>
        <v>0.5</v>
      </c>
      <c r="D81" s="42"/>
    </row>
    <row r="82" spans="1:4" ht="12.75">
      <c r="A82" s="88" t="s">
        <v>415</v>
      </c>
      <c r="B82" s="40" t="s">
        <v>67</v>
      </c>
      <c r="C82" s="41">
        <f>2</f>
        <v>2</v>
      </c>
      <c r="D82" s="42"/>
    </row>
    <row r="83" spans="1:4" ht="12.75">
      <c r="A83" s="35" t="s">
        <v>126</v>
      </c>
      <c r="B83" s="36"/>
      <c r="C83" s="36"/>
      <c r="D83" s="45"/>
    </row>
    <row r="84" spans="1:4" ht="12.75">
      <c r="A84" s="43" t="s">
        <v>128</v>
      </c>
      <c r="B84" s="46" t="s">
        <v>67</v>
      </c>
      <c r="C84" s="41">
        <v>1</v>
      </c>
      <c r="D84" s="42"/>
    </row>
    <row r="85" spans="1:4" ht="12.75">
      <c r="A85" s="43" t="s">
        <v>129</v>
      </c>
      <c r="B85" s="40" t="s">
        <v>67</v>
      </c>
      <c r="C85" s="41">
        <f>2+2+2</f>
        <v>6</v>
      </c>
      <c r="D85" s="42"/>
    </row>
    <row r="86" spans="1:4" ht="12.75">
      <c r="A86" s="43" t="s">
        <v>134</v>
      </c>
      <c r="B86" s="40" t="s">
        <v>39</v>
      </c>
      <c r="C86" s="41">
        <f>1+0.6</f>
        <v>1.6</v>
      </c>
      <c r="D86" s="42"/>
    </row>
    <row r="87" spans="1:4" ht="12.75">
      <c r="A87" s="88" t="s">
        <v>267</v>
      </c>
      <c r="B87" s="40" t="s">
        <v>122</v>
      </c>
      <c r="C87" s="41">
        <v>1</v>
      </c>
      <c r="D87" s="42"/>
    </row>
    <row r="88" spans="1:4" ht="12.75">
      <c r="A88" s="35" t="s">
        <v>238</v>
      </c>
      <c r="B88" s="36"/>
      <c r="C88" s="36"/>
      <c r="D88" s="45"/>
    </row>
    <row r="89" spans="1:4" ht="12.75">
      <c r="A89" s="43" t="s">
        <v>395</v>
      </c>
      <c r="B89" s="40" t="s">
        <v>39</v>
      </c>
      <c r="C89" s="40">
        <f>2+7</f>
        <v>9</v>
      </c>
      <c r="D89" s="42"/>
    </row>
    <row r="90" spans="1:4" ht="12.75">
      <c r="A90" s="35" t="s">
        <v>213</v>
      </c>
      <c r="B90" s="36"/>
      <c r="C90" s="36"/>
      <c r="D90" s="45"/>
    </row>
    <row r="91" spans="1:4" ht="12.75">
      <c r="A91" s="80" t="s">
        <v>241</v>
      </c>
      <c r="B91" s="41" t="s">
        <v>67</v>
      </c>
      <c r="C91" s="41">
        <f>1</f>
        <v>1</v>
      </c>
      <c r="D91" s="42"/>
    </row>
    <row r="92" spans="1:4" ht="12.75">
      <c r="A92" s="80" t="s">
        <v>396</v>
      </c>
      <c r="B92" s="41" t="s">
        <v>67</v>
      </c>
      <c r="C92" s="41">
        <f>1</f>
        <v>1</v>
      </c>
      <c r="D92" s="42"/>
    </row>
    <row r="93" spans="1:4" ht="12.75">
      <c r="A93" s="80" t="s">
        <v>397</v>
      </c>
      <c r="B93" s="41" t="s">
        <v>39</v>
      </c>
      <c r="C93" s="41">
        <f>1</f>
        <v>1</v>
      </c>
      <c r="D93" s="42"/>
    </row>
    <row r="94" spans="1:4" ht="12.75">
      <c r="A94" s="49" t="s">
        <v>141</v>
      </c>
      <c r="B94" s="36"/>
      <c r="C94" s="50"/>
      <c r="D94" s="45"/>
    </row>
    <row r="95" spans="1:4" ht="12.75">
      <c r="A95" s="51" t="s">
        <v>447</v>
      </c>
      <c r="B95" s="41" t="s">
        <v>67</v>
      </c>
      <c r="C95" s="41">
        <v>2</v>
      </c>
      <c r="D95" s="42"/>
    </row>
    <row r="96" spans="1:4" ht="12.75">
      <c r="A96" s="51" t="s">
        <v>142</v>
      </c>
      <c r="B96" s="41" t="s">
        <v>67</v>
      </c>
      <c r="C96" s="41">
        <f>1+1</f>
        <v>2</v>
      </c>
      <c r="D96" s="42"/>
    </row>
    <row r="97" spans="1:4" ht="12.75">
      <c r="A97" s="51" t="s">
        <v>399</v>
      </c>
      <c r="B97" s="41" t="s">
        <v>39</v>
      </c>
      <c r="C97" s="41">
        <f>2+18</f>
        <v>20</v>
      </c>
      <c r="D97" s="42"/>
    </row>
    <row r="98" spans="1:4" ht="12.75">
      <c r="A98" s="49" t="s">
        <v>145</v>
      </c>
      <c r="B98" s="36"/>
      <c r="C98" s="36"/>
      <c r="D98" s="45"/>
    </row>
    <row r="99" spans="1:4" ht="12.75">
      <c r="A99" s="52" t="s">
        <v>151</v>
      </c>
      <c r="B99" s="41" t="s">
        <v>39</v>
      </c>
      <c r="C99" s="40">
        <f>120+120</f>
        <v>240</v>
      </c>
      <c r="D99" s="42"/>
    </row>
    <row r="100" spans="1:4" ht="12.75">
      <c r="A100" s="49" t="s">
        <v>157</v>
      </c>
      <c r="B100" s="36"/>
      <c r="C100" s="36"/>
      <c r="D100" s="45"/>
    </row>
    <row r="101" spans="1:4" s="1" customFormat="1" ht="12.75">
      <c r="A101" s="80" t="s">
        <v>400</v>
      </c>
      <c r="B101" s="41" t="s">
        <v>39</v>
      </c>
      <c r="C101" s="41">
        <v>276</v>
      </c>
      <c r="D101" s="68" t="s">
        <v>186</v>
      </c>
    </row>
    <row r="102" spans="1:5" ht="12.75">
      <c r="A102" s="49" t="s">
        <v>161</v>
      </c>
      <c r="B102" s="36"/>
      <c r="C102" s="116"/>
      <c r="D102" s="45"/>
      <c r="E102" s="97"/>
    </row>
    <row r="103" spans="1:4" ht="12.75">
      <c r="A103" s="54" t="s">
        <v>162</v>
      </c>
      <c r="B103" s="58" t="s">
        <v>401</v>
      </c>
      <c r="C103" s="56">
        <v>1</v>
      </c>
      <c r="D103" s="68" t="s">
        <v>44</v>
      </c>
    </row>
    <row r="104" spans="1:4" ht="12.75">
      <c r="A104" s="54" t="s">
        <v>163</v>
      </c>
      <c r="B104" s="58" t="s">
        <v>401</v>
      </c>
      <c r="C104" s="56">
        <v>1</v>
      </c>
      <c r="D104" s="89" t="s">
        <v>164</v>
      </c>
    </row>
    <row r="105" spans="1:4" ht="12.75">
      <c r="A105" s="49" t="s">
        <v>165</v>
      </c>
      <c r="B105" s="144"/>
      <c r="C105" s="36"/>
      <c r="D105" s="45"/>
    </row>
    <row r="106" spans="1:4" ht="12.75">
      <c r="A106" s="54" t="s">
        <v>162</v>
      </c>
      <c r="B106" s="58" t="s">
        <v>401</v>
      </c>
      <c r="C106" s="56">
        <v>1</v>
      </c>
      <c r="D106" s="68" t="s">
        <v>44</v>
      </c>
    </row>
    <row r="107" spans="1:4" ht="12.75">
      <c r="A107" s="54" t="s">
        <v>163</v>
      </c>
      <c r="B107" s="58" t="s">
        <v>401</v>
      </c>
      <c r="C107" s="56">
        <v>1</v>
      </c>
      <c r="D107" s="89" t="s">
        <v>164</v>
      </c>
    </row>
    <row r="108" spans="1:4" ht="12.75">
      <c r="A108" s="49" t="s">
        <v>166</v>
      </c>
      <c r="B108" s="144"/>
      <c r="C108" s="36"/>
      <c r="D108" s="45"/>
    </row>
    <row r="109" spans="1:4" ht="12.75">
      <c r="A109" s="54" t="s">
        <v>162</v>
      </c>
      <c r="B109" s="56" t="s">
        <v>39</v>
      </c>
      <c r="C109" s="56">
        <f>73.1+89.4</f>
        <v>162.5</v>
      </c>
      <c r="D109" s="47" t="s">
        <v>175</v>
      </c>
    </row>
    <row r="110" spans="1:4" ht="12.75">
      <c r="A110" s="54" t="s">
        <v>163</v>
      </c>
      <c r="B110" s="56" t="s">
        <v>39</v>
      </c>
      <c r="C110" s="56">
        <f>73.1+89.4</f>
        <v>162.5</v>
      </c>
      <c r="D110" s="89" t="s">
        <v>164</v>
      </c>
    </row>
    <row r="113" ht="12.75">
      <c r="A113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4:C24"/>
    <mergeCell ref="A48:C48"/>
    <mergeCell ref="A49:C49"/>
    <mergeCell ref="A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B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72:B72"/>
    <mergeCell ref="A76:B76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4"/>
  </sheetPr>
  <dimension ref="A1:D113"/>
  <sheetViews>
    <sheetView workbookViewId="0" topLeftCell="A85">
      <selection activeCell="A116" sqref="A116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448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449</v>
      </c>
    </row>
    <row r="8" spans="1:3" ht="12.75">
      <c r="A8" s="1" t="s">
        <v>7</v>
      </c>
      <c r="C8" s="4" t="s">
        <v>450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" t="s">
        <v>451</v>
      </c>
    </row>
    <row r="12" spans="1:3" ht="12.75">
      <c r="A12" s="1" t="s">
        <v>13</v>
      </c>
      <c r="C12" s="83"/>
    </row>
    <row r="13" spans="1:3" ht="12.75">
      <c r="A13" s="1" t="s">
        <v>14</v>
      </c>
      <c r="C13" s="83"/>
    </row>
    <row r="14" spans="1:3" ht="12.75">
      <c r="A14" s="1" t="s">
        <v>15</v>
      </c>
      <c r="B14" s="1" t="s">
        <v>16</v>
      </c>
      <c r="C14" s="83"/>
    </row>
    <row r="15" spans="1:3" ht="12.75">
      <c r="A15" s="1" t="s">
        <v>17</v>
      </c>
      <c r="B15" s="1" t="s">
        <v>18</v>
      </c>
      <c r="C15" s="83"/>
    </row>
    <row r="16" spans="1:3" ht="12.75">
      <c r="A16" s="1" t="s">
        <v>19</v>
      </c>
      <c r="B16" s="1" t="s">
        <v>20</v>
      </c>
      <c r="C16" s="83"/>
    </row>
    <row r="17" spans="1:3" ht="12.75">
      <c r="A17" s="1" t="s">
        <v>25</v>
      </c>
      <c r="B17" s="1" t="s">
        <v>26</v>
      </c>
      <c r="C17" s="83"/>
    </row>
    <row r="18" spans="1:3" ht="12.75">
      <c r="A18" s="1" t="s">
        <v>27</v>
      </c>
      <c r="B18" s="1" t="s">
        <v>28</v>
      </c>
      <c r="C18" s="83"/>
    </row>
    <row r="19" spans="1:3" ht="12.75">
      <c r="A19" s="1" t="s">
        <v>29</v>
      </c>
      <c r="C19" s="7"/>
    </row>
    <row r="20" spans="1:3" ht="12.75">
      <c r="A20" s="1" t="s">
        <v>30</v>
      </c>
      <c r="B20" s="1" t="s">
        <v>31</v>
      </c>
      <c r="C20" s="7"/>
    </row>
    <row r="21" ht="12.75">
      <c r="C21" s="83"/>
    </row>
    <row r="22" spans="1:3" ht="12.75">
      <c r="A22" s="1" t="s">
        <v>32</v>
      </c>
      <c r="C22" s="71">
        <v>0.7503</v>
      </c>
    </row>
    <row r="23" spans="1:3" ht="12.75">
      <c r="A23" s="72"/>
      <c r="C23" s="7"/>
    </row>
    <row r="24" spans="1:3" ht="12.75" customHeight="1">
      <c r="A24" s="10" t="s">
        <v>33</v>
      </c>
      <c r="B24" s="10"/>
      <c r="C24" s="10"/>
    </row>
    <row r="26" spans="1:4" ht="12.75">
      <c r="A26" s="11" t="s">
        <v>34</v>
      </c>
      <c r="B26" s="11" t="s">
        <v>35</v>
      </c>
      <c r="C26" s="11" t="s">
        <v>36</v>
      </c>
      <c r="D26" s="12" t="s">
        <v>37</v>
      </c>
    </row>
    <row r="27" spans="1:4" ht="12.75">
      <c r="A27" s="111" t="s">
        <v>38</v>
      </c>
      <c r="B27" s="121" t="s">
        <v>39</v>
      </c>
      <c r="C27" s="73">
        <v>159.6</v>
      </c>
      <c r="D27" s="122" t="s">
        <v>40</v>
      </c>
    </row>
    <row r="28" spans="1:4" ht="12.75">
      <c r="A28" s="13" t="s">
        <v>41</v>
      </c>
      <c r="B28" s="14" t="s">
        <v>39</v>
      </c>
      <c r="C28" s="73">
        <v>159.6</v>
      </c>
      <c r="D28" s="16" t="s">
        <v>42</v>
      </c>
    </row>
    <row r="29" spans="1:4" ht="12.75">
      <c r="A29" s="13" t="s">
        <v>43</v>
      </c>
      <c r="B29" s="14" t="s">
        <v>39</v>
      </c>
      <c r="C29" s="123">
        <v>730</v>
      </c>
      <c r="D29" s="16" t="s">
        <v>44</v>
      </c>
    </row>
    <row r="30" spans="1:4" ht="12.75">
      <c r="A30" s="13" t="s">
        <v>45</v>
      </c>
      <c r="B30" s="14" t="s">
        <v>39</v>
      </c>
      <c r="C30" s="15">
        <v>1</v>
      </c>
      <c r="D30" s="16" t="s">
        <v>46</v>
      </c>
    </row>
    <row r="31" spans="1:4" ht="12.75">
      <c r="A31" s="13" t="s">
        <v>47</v>
      </c>
      <c r="B31" s="17" t="s">
        <v>39</v>
      </c>
      <c r="C31" s="15">
        <v>1.8</v>
      </c>
      <c r="D31" s="16" t="s">
        <v>48</v>
      </c>
    </row>
    <row r="32" spans="1:4" ht="12.75">
      <c r="A32" s="13" t="s">
        <v>49</v>
      </c>
      <c r="B32" s="17" t="s">
        <v>50</v>
      </c>
      <c r="C32" s="73">
        <v>159.6</v>
      </c>
      <c r="D32" s="16" t="s">
        <v>51</v>
      </c>
    </row>
    <row r="33" spans="1:4" ht="12.75">
      <c r="A33" s="13" t="s">
        <v>52</v>
      </c>
      <c r="B33" s="17" t="s">
        <v>39</v>
      </c>
      <c r="C33" s="15">
        <v>239.4</v>
      </c>
      <c r="D33" s="16" t="s">
        <v>53</v>
      </c>
    </row>
    <row r="34" spans="1:4" ht="12.75">
      <c r="A34" s="13" t="s">
        <v>54</v>
      </c>
      <c r="B34" s="17" t="s">
        <v>39</v>
      </c>
      <c r="C34" s="15"/>
      <c r="D34" s="16" t="s">
        <v>233</v>
      </c>
    </row>
    <row r="35" spans="1:4" ht="12.75">
      <c r="A35" s="13" t="s">
        <v>56</v>
      </c>
      <c r="B35" s="17" t="s">
        <v>39</v>
      </c>
      <c r="C35" s="15"/>
      <c r="D35" s="16" t="s">
        <v>233</v>
      </c>
    </row>
    <row r="36" spans="1:4" ht="12.75">
      <c r="A36" s="13" t="s">
        <v>59</v>
      </c>
      <c r="B36" s="17" t="s">
        <v>39</v>
      </c>
      <c r="C36" s="15"/>
      <c r="D36" s="16" t="s">
        <v>233</v>
      </c>
    </row>
    <row r="37" spans="1:4" ht="12.75">
      <c r="A37" s="13" t="s">
        <v>61</v>
      </c>
      <c r="B37" s="17" t="s">
        <v>39</v>
      </c>
      <c r="C37" s="15">
        <v>815</v>
      </c>
      <c r="D37" s="16" t="s">
        <v>46</v>
      </c>
    </row>
    <row r="38" spans="1:4" ht="12.75">
      <c r="A38" s="13" t="s">
        <v>62</v>
      </c>
      <c r="B38" s="17" t="s">
        <v>39</v>
      </c>
      <c r="C38" s="73">
        <v>159.6</v>
      </c>
      <c r="D38" s="16" t="s">
        <v>53</v>
      </c>
    </row>
    <row r="39" spans="1:4" ht="12.75">
      <c r="A39" s="13" t="s">
        <v>63</v>
      </c>
      <c r="B39" s="17" t="s">
        <v>39</v>
      </c>
      <c r="C39" s="15"/>
      <c r="D39" s="16" t="s">
        <v>233</v>
      </c>
    </row>
    <row r="40" spans="1:4" ht="12.75">
      <c r="A40" s="13" t="s">
        <v>64</v>
      </c>
      <c r="B40" s="17" t="s">
        <v>39</v>
      </c>
      <c r="C40" s="15"/>
      <c r="D40" s="16" t="s">
        <v>233</v>
      </c>
    </row>
    <row r="41" spans="1:4" ht="12.75">
      <c r="A41" s="13" t="s">
        <v>65</v>
      </c>
      <c r="B41" s="17" t="s">
        <v>39</v>
      </c>
      <c r="C41" s="15"/>
      <c r="D41" s="16" t="s">
        <v>233</v>
      </c>
    </row>
    <row r="42" spans="1:4" ht="12.75">
      <c r="A42" s="13" t="s">
        <v>66</v>
      </c>
      <c r="B42" s="17" t="s">
        <v>67</v>
      </c>
      <c r="C42" s="15"/>
      <c r="D42" s="16" t="s">
        <v>233</v>
      </c>
    </row>
    <row r="43" spans="1:4" ht="12.75">
      <c r="A43" s="13" t="s">
        <v>68</v>
      </c>
      <c r="B43" s="17" t="s">
        <v>67</v>
      </c>
      <c r="C43" s="15"/>
      <c r="D43" s="16" t="s">
        <v>233</v>
      </c>
    </row>
    <row r="44" spans="1:4" ht="12.75">
      <c r="A44" s="13" t="s">
        <v>70</v>
      </c>
      <c r="B44" s="17" t="s">
        <v>39</v>
      </c>
      <c r="C44" s="15"/>
      <c r="D44" s="16" t="s">
        <v>233</v>
      </c>
    </row>
    <row r="45" spans="1:4" ht="12.75">
      <c r="A45" s="13" t="s">
        <v>72</v>
      </c>
      <c r="B45" s="17" t="s">
        <v>39</v>
      </c>
      <c r="C45" s="15"/>
      <c r="D45" s="16" t="s">
        <v>233</v>
      </c>
    </row>
    <row r="46" spans="1:4" ht="12.75">
      <c r="A46" s="13" t="s">
        <v>73</v>
      </c>
      <c r="B46" s="17" t="s">
        <v>67</v>
      </c>
      <c r="C46" s="15"/>
      <c r="D46" s="16" t="s">
        <v>233</v>
      </c>
    </row>
    <row r="47" spans="1:4" ht="12.75">
      <c r="A47" s="13" t="s">
        <v>74</v>
      </c>
      <c r="B47" s="17" t="s">
        <v>39</v>
      </c>
      <c r="C47" s="15">
        <v>589</v>
      </c>
      <c r="D47" s="16" t="s">
        <v>60</v>
      </c>
    </row>
    <row r="48" spans="1:4" ht="12.75" customHeight="1">
      <c r="A48" s="18" t="s">
        <v>75</v>
      </c>
      <c r="B48" s="18"/>
      <c r="C48" s="18"/>
      <c r="D48" s="19"/>
    </row>
    <row r="49" spans="1:4" ht="12.75" customHeight="1">
      <c r="A49" s="20" t="s">
        <v>76</v>
      </c>
      <c r="B49" s="20"/>
      <c r="C49" s="20"/>
      <c r="D49" s="21"/>
    </row>
    <row r="50" spans="1:4" ht="12.75" customHeight="1">
      <c r="A50" s="22" t="s">
        <v>77</v>
      </c>
      <c r="B50" s="22"/>
      <c r="C50" s="22"/>
      <c r="D50" s="23"/>
    </row>
    <row r="51" spans="1:4" ht="25.5" customHeight="1">
      <c r="A51" s="13" t="s">
        <v>78</v>
      </c>
      <c r="B51" s="24" t="s">
        <v>79</v>
      </c>
      <c r="C51" s="24"/>
      <c r="D51" s="13" t="s">
        <v>80</v>
      </c>
    </row>
    <row r="52" spans="1:4" ht="25.5" customHeight="1">
      <c r="A52" s="13" t="s">
        <v>81</v>
      </c>
      <c r="B52" s="24" t="s">
        <v>79</v>
      </c>
      <c r="C52" s="24"/>
      <c r="D52" s="13" t="s">
        <v>80</v>
      </c>
    </row>
    <row r="53" spans="1:4" ht="25.5" customHeight="1">
      <c r="A53" s="13" t="s">
        <v>82</v>
      </c>
      <c r="B53" s="24" t="s">
        <v>79</v>
      </c>
      <c r="C53" s="24"/>
      <c r="D53" s="13" t="s">
        <v>83</v>
      </c>
    </row>
    <row r="54" spans="1:4" ht="25.5" customHeight="1">
      <c r="A54" s="13" t="s">
        <v>84</v>
      </c>
      <c r="B54" s="24" t="s">
        <v>79</v>
      </c>
      <c r="C54" s="24"/>
      <c r="D54" s="13" t="s">
        <v>83</v>
      </c>
    </row>
    <row r="55" spans="1:4" ht="24.75" customHeight="1">
      <c r="A55" s="13" t="s">
        <v>85</v>
      </c>
      <c r="B55" s="24" t="s">
        <v>79</v>
      </c>
      <c r="C55" s="24"/>
      <c r="D55" s="13" t="s">
        <v>86</v>
      </c>
    </row>
    <row r="56" spans="1:4" ht="27" customHeight="1">
      <c r="A56" s="13" t="s">
        <v>87</v>
      </c>
      <c r="B56" s="24" t="s">
        <v>79</v>
      </c>
      <c r="C56" s="24"/>
      <c r="D56" s="13" t="s">
        <v>88</v>
      </c>
    </row>
    <row r="57" spans="1:4" ht="25.5" customHeight="1">
      <c r="A57" s="13" t="s">
        <v>89</v>
      </c>
      <c r="B57" s="24" t="s">
        <v>79</v>
      </c>
      <c r="C57" s="24"/>
      <c r="D57" s="13" t="s">
        <v>40</v>
      </c>
    </row>
    <row r="58" spans="1:4" ht="25.5" customHeight="1">
      <c r="A58" s="13" t="s">
        <v>90</v>
      </c>
      <c r="B58" s="24" t="s">
        <v>79</v>
      </c>
      <c r="C58" s="24"/>
      <c r="D58" s="13" t="s">
        <v>88</v>
      </c>
    </row>
    <row r="59" spans="1:4" ht="25.5" customHeight="1">
      <c r="A59" s="13" t="s">
        <v>91</v>
      </c>
      <c r="B59" s="24" t="s">
        <v>79</v>
      </c>
      <c r="C59" s="24"/>
      <c r="D59" s="13" t="s">
        <v>92</v>
      </c>
    </row>
    <row r="60" spans="1:4" ht="25.5" customHeight="1">
      <c r="A60" s="13" t="s">
        <v>93</v>
      </c>
      <c r="B60" s="24" t="s">
        <v>79</v>
      </c>
      <c r="C60" s="24"/>
      <c r="D60" s="86" t="s">
        <v>94</v>
      </c>
    </row>
    <row r="61" spans="1:4" ht="12.75" customHeight="1">
      <c r="A61" s="28" t="s">
        <v>95</v>
      </c>
      <c r="B61" s="28"/>
      <c r="C61" s="29"/>
      <c r="D61" s="30"/>
    </row>
    <row r="62" spans="1:4" ht="27.75" customHeight="1">
      <c r="A62" s="13" t="s">
        <v>96</v>
      </c>
      <c r="B62" s="24" t="s">
        <v>79</v>
      </c>
      <c r="C62" s="24"/>
      <c r="D62" s="13" t="s">
        <v>88</v>
      </c>
    </row>
    <row r="63" spans="1:4" ht="25.5" customHeight="1">
      <c r="A63" s="13" t="s">
        <v>97</v>
      </c>
      <c r="B63" s="24" t="s">
        <v>79</v>
      </c>
      <c r="C63" s="24"/>
      <c r="D63" s="13" t="s">
        <v>98</v>
      </c>
    </row>
    <row r="64" spans="1:4" ht="25.5" customHeight="1">
      <c r="A64" s="13" t="s">
        <v>99</v>
      </c>
      <c r="B64" s="24" t="s">
        <v>79</v>
      </c>
      <c r="C64" s="24"/>
      <c r="D64" s="13" t="s">
        <v>100</v>
      </c>
    </row>
    <row r="65" spans="1:4" ht="27.75" customHeight="1">
      <c r="A65" s="13" t="s">
        <v>101</v>
      </c>
      <c r="B65" s="24" t="s">
        <v>79</v>
      </c>
      <c r="C65" s="24"/>
      <c r="D65" s="13" t="s">
        <v>88</v>
      </c>
    </row>
    <row r="66" spans="1:4" ht="26.25" customHeight="1">
      <c r="A66" s="13" t="s">
        <v>102</v>
      </c>
      <c r="B66" s="24" t="s">
        <v>79</v>
      </c>
      <c r="C66" s="24"/>
      <c r="D66" s="13" t="s">
        <v>60</v>
      </c>
    </row>
    <row r="67" spans="1:4" ht="30" customHeight="1">
      <c r="A67" s="13" t="s">
        <v>103</v>
      </c>
      <c r="B67" s="24" t="s">
        <v>79</v>
      </c>
      <c r="C67" s="24"/>
      <c r="D67" s="13" t="s">
        <v>104</v>
      </c>
    </row>
    <row r="68" spans="1:4" ht="25.5" customHeight="1">
      <c r="A68" s="13" t="s">
        <v>105</v>
      </c>
      <c r="B68" s="24" t="s">
        <v>79</v>
      </c>
      <c r="C68" s="24"/>
      <c r="D68" s="13" t="s">
        <v>106</v>
      </c>
    </row>
    <row r="69" spans="1:4" ht="25.5" customHeight="1">
      <c r="A69" s="13" t="s">
        <v>107</v>
      </c>
      <c r="B69" s="24" t="s">
        <v>79</v>
      </c>
      <c r="C69" s="24"/>
      <c r="D69" s="13" t="s">
        <v>108</v>
      </c>
    </row>
    <row r="70" spans="1:4" ht="24.75" customHeight="1">
      <c r="A70" s="13" t="s">
        <v>89</v>
      </c>
      <c r="B70" s="24" t="s">
        <v>79</v>
      </c>
      <c r="C70" s="24"/>
      <c r="D70" s="13" t="s">
        <v>40</v>
      </c>
    </row>
    <row r="71" spans="1:4" ht="25.5" customHeight="1">
      <c r="A71" s="13" t="s">
        <v>109</v>
      </c>
      <c r="B71" s="24" t="s">
        <v>79</v>
      </c>
      <c r="C71" s="24"/>
      <c r="D71" s="13" t="s">
        <v>108</v>
      </c>
    </row>
    <row r="72" spans="1:4" ht="12.75" customHeight="1">
      <c r="A72" s="28" t="s">
        <v>110</v>
      </c>
      <c r="B72" s="28"/>
      <c r="C72" s="31"/>
      <c r="D72" s="30"/>
    </row>
    <row r="73" spans="1:4" ht="27.75" customHeight="1">
      <c r="A73" s="13" t="s">
        <v>111</v>
      </c>
      <c r="B73" s="14" t="s">
        <v>112</v>
      </c>
      <c r="C73" s="15">
        <f>46*1.15*12</f>
        <v>634.8</v>
      </c>
      <c r="D73" s="74" t="s">
        <v>69</v>
      </c>
    </row>
    <row r="74" spans="1:4" ht="12.75">
      <c r="A74" s="13" t="s">
        <v>113</v>
      </c>
      <c r="B74" s="33" t="s">
        <v>112</v>
      </c>
      <c r="C74" s="15">
        <f>0.75*2*2*51</f>
        <v>153</v>
      </c>
      <c r="D74" s="74" t="s">
        <v>114</v>
      </c>
    </row>
    <row r="75" spans="1:4" ht="25.5">
      <c r="A75" s="13" t="s">
        <v>115</v>
      </c>
      <c r="B75" s="14" t="s">
        <v>67</v>
      </c>
      <c r="C75" s="15">
        <v>4</v>
      </c>
      <c r="D75" s="74" t="s">
        <v>116</v>
      </c>
    </row>
    <row r="76" spans="1:4" ht="12.75" customHeight="1">
      <c r="A76" s="18" t="s">
        <v>117</v>
      </c>
      <c r="B76" s="18"/>
      <c r="C76" s="34"/>
      <c r="D76" s="19"/>
    </row>
    <row r="77" spans="1:4" ht="12.75">
      <c r="A77" s="35" t="s">
        <v>118</v>
      </c>
      <c r="B77" s="36"/>
      <c r="C77" s="37"/>
      <c r="D77" s="38"/>
    </row>
    <row r="78" spans="1:4" ht="12.75">
      <c r="A78" s="39" t="s">
        <v>393</v>
      </c>
      <c r="B78" s="40" t="s">
        <v>39</v>
      </c>
      <c r="C78" s="150">
        <v>3</v>
      </c>
      <c r="D78" s="92"/>
    </row>
    <row r="79" spans="1:4" ht="12.75">
      <c r="A79" s="35" t="s">
        <v>235</v>
      </c>
      <c r="B79" s="36"/>
      <c r="C79" s="36"/>
      <c r="D79" s="38"/>
    </row>
    <row r="80" spans="1:4" ht="12.75">
      <c r="A80" s="39" t="s">
        <v>252</v>
      </c>
      <c r="B80" s="40" t="s">
        <v>39</v>
      </c>
      <c r="C80" s="150">
        <v>50</v>
      </c>
      <c r="D80" s="92"/>
    </row>
    <row r="81" spans="1:4" ht="12.75">
      <c r="A81" s="39" t="s">
        <v>414</v>
      </c>
      <c r="B81" s="40" t="s">
        <v>39</v>
      </c>
      <c r="C81" s="150">
        <v>50</v>
      </c>
      <c r="D81" s="92"/>
    </row>
    <row r="82" spans="1:4" ht="12.75">
      <c r="A82" s="88" t="s">
        <v>386</v>
      </c>
      <c r="B82" s="40" t="s">
        <v>39</v>
      </c>
      <c r="C82" s="150">
        <v>0.2</v>
      </c>
      <c r="D82" s="92"/>
    </row>
    <row r="83" spans="1:4" ht="12.75">
      <c r="A83" s="88" t="s">
        <v>325</v>
      </c>
      <c r="B83" s="40" t="s">
        <v>67</v>
      </c>
      <c r="C83" s="150">
        <v>2</v>
      </c>
      <c r="D83" s="92"/>
    </row>
    <row r="84" spans="1:4" ht="12.75">
      <c r="A84" s="35" t="s">
        <v>126</v>
      </c>
      <c r="B84" s="36"/>
      <c r="C84" s="36"/>
      <c r="D84" s="38"/>
    </row>
    <row r="85" spans="1:4" ht="12.75">
      <c r="A85" s="43" t="s">
        <v>125</v>
      </c>
      <c r="B85" s="46" t="s">
        <v>67</v>
      </c>
      <c r="C85" s="150">
        <f>1</f>
        <v>1</v>
      </c>
      <c r="D85" s="92"/>
    </row>
    <row r="86" spans="1:4" ht="12.75">
      <c r="A86" s="43" t="s">
        <v>129</v>
      </c>
      <c r="B86" s="40" t="s">
        <v>67</v>
      </c>
      <c r="C86" s="151">
        <f>1+2+3</f>
        <v>6</v>
      </c>
      <c r="D86" s="92"/>
    </row>
    <row r="87" spans="1:4" ht="12.75">
      <c r="A87" s="43" t="s">
        <v>397</v>
      </c>
      <c r="B87" s="40" t="s">
        <v>39</v>
      </c>
      <c r="C87" s="150">
        <v>1</v>
      </c>
      <c r="D87" s="92"/>
    </row>
    <row r="88" spans="1:4" ht="12.75">
      <c r="A88" s="43" t="s">
        <v>254</v>
      </c>
      <c r="B88" s="40" t="s">
        <v>67</v>
      </c>
      <c r="C88" s="150">
        <f>1+4</f>
        <v>5</v>
      </c>
      <c r="D88" s="92"/>
    </row>
    <row r="89" spans="1:4" ht="12.75">
      <c r="A89" s="43" t="s">
        <v>266</v>
      </c>
      <c r="B89" s="46" t="s">
        <v>133</v>
      </c>
      <c r="C89" s="151">
        <v>3.1</v>
      </c>
      <c r="D89" s="92"/>
    </row>
    <row r="90" spans="1:4" ht="12.75">
      <c r="A90" s="43" t="s">
        <v>132</v>
      </c>
      <c r="B90" s="40" t="s">
        <v>133</v>
      </c>
      <c r="C90" s="151">
        <v>3</v>
      </c>
      <c r="D90" s="92"/>
    </row>
    <row r="91" spans="1:4" ht="12.75">
      <c r="A91" s="43" t="s">
        <v>134</v>
      </c>
      <c r="B91" s="40" t="s">
        <v>39</v>
      </c>
      <c r="C91" s="41">
        <v>0.8</v>
      </c>
      <c r="D91" s="92"/>
    </row>
    <row r="92" spans="1:4" ht="12.75">
      <c r="A92" s="43" t="s">
        <v>370</v>
      </c>
      <c r="B92" s="40" t="s">
        <v>67</v>
      </c>
      <c r="C92" s="40">
        <v>2</v>
      </c>
      <c r="D92" s="92"/>
    </row>
    <row r="93" spans="1:4" ht="12.75">
      <c r="A93" s="35" t="s">
        <v>238</v>
      </c>
      <c r="B93" s="36"/>
      <c r="C93" s="36"/>
      <c r="D93" s="45"/>
    </row>
    <row r="94" spans="1:4" ht="12.75">
      <c r="A94" s="43" t="s">
        <v>395</v>
      </c>
      <c r="B94" s="40" t="s">
        <v>39</v>
      </c>
      <c r="C94" s="151">
        <f>3.3+8+3.2</f>
        <v>14.5</v>
      </c>
      <c r="D94" s="42"/>
    </row>
    <row r="95" spans="1:4" ht="12.75">
      <c r="A95" s="35" t="s">
        <v>213</v>
      </c>
      <c r="B95" s="36"/>
      <c r="C95" s="36"/>
      <c r="D95" s="45"/>
    </row>
    <row r="96" spans="1:4" ht="12.75">
      <c r="A96" s="80" t="s">
        <v>241</v>
      </c>
      <c r="B96" s="41" t="s">
        <v>67</v>
      </c>
      <c r="C96" s="41">
        <f>1</f>
        <v>1</v>
      </c>
      <c r="D96" s="42"/>
    </row>
    <row r="97" spans="1:4" ht="12.75">
      <c r="A97" s="49" t="s">
        <v>141</v>
      </c>
      <c r="B97" s="36"/>
      <c r="C97" s="50"/>
      <c r="D97" s="45"/>
    </row>
    <row r="98" spans="1:4" ht="12.75">
      <c r="A98" s="51" t="s">
        <v>447</v>
      </c>
      <c r="B98" s="41" t="s">
        <v>67</v>
      </c>
      <c r="C98" s="40">
        <v>1</v>
      </c>
      <c r="D98" s="42"/>
    </row>
    <row r="99" spans="1:4" ht="12.75">
      <c r="A99" s="51" t="s">
        <v>142</v>
      </c>
      <c r="B99" s="41" t="s">
        <v>67</v>
      </c>
      <c r="C99" s="40">
        <f>1+1</f>
        <v>2</v>
      </c>
      <c r="D99" s="42"/>
    </row>
    <row r="100" spans="1:4" ht="12.75">
      <c r="A100" s="51" t="s">
        <v>399</v>
      </c>
      <c r="B100" s="41" t="s">
        <v>39</v>
      </c>
      <c r="C100" s="150">
        <f>1.7+1.8</f>
        <v>3.5</v>
      </c>
      <c r="D100" s="42"/>
    </row>
    <row r="101" spans="1:4" ht="12.75">
      <c r="A101" s="49" t="s">
        <v>145</v>
      </c>
      <c r="B101" s="36"/>
      <c r="C101" s="36"/>
      <c r="D101" s="45"/>
    </row>
    <row r="102" spans="1:4" s="1" customFormat="1" ht="12.75">
      <c r="A102" s="80" t="s">
        <v>151</v>
      </c>
      <c r="B102" s="41" t="s">
        <v>39</v>
      </c>
      <c r="C102" s="41">
        <v>327</v>
      </c>
      <c r="D102" s="68" t="s">
        <v>130</v>
      </c>
    </row>
    <row r="103" spans="1:4" ht="12.75">
      <c r="A103" s="49" t="s">
        <v>157</v>
      </c>
      <c r="B103" s="36"/>
      <c r="C103" s="36"/>
      <c r="D103" s="45"/>
    </row>
    <row r="104" spans="1:4" s="1" customFormat="1" ht="12.75">
      <c r="A104" s="80" t="s">
        <v>400</v>
      </c>
      <c r="B104" s="41" t="s">
        <v>39</v>
      </c>
      <c r="C104" s="41">
        <v>276</v>
      </c>
      <c r="D104" s="68" t="s">
        <v>130</v>
      </c>
    </row>
    <row r="105" spans="1:4" ht="12.75">
      <c r="A105" s="49" t="s">
        <v>161</v>
      </c>
      <c r="B105" s="36"/>
      <c r="C105" s="116"/>
      <c r="D105" s="45"/>
    </row>
    <row r="106" spans="1:4" ht="12.75">
      <c r="A106" s="54" t="s">
        <v>162</v>
      </c>
      <c r="B106" s="58" t="s">
        <v>401</v>
      </c>
      <c r="C106" s="56">
        <v>1</v>
      </c>
      <c r="D106" s="68" t="s">
        <v>44</v>
      </c>
    </row>
    <row r="107" spans="1:4" ht="12.75">
      <c r="A107" s="54" t="s">
        <v>163</v>
      </c>
      <c r="B107" s="58" t="s">
        <v>401</v>
      </c>
      <c r="C107" s="56">
        <v>1</v>
      </c>
      <c r="D107" s="89" t="s">
        <v>164</v>
      </c>
    </row>
    <row r="108" spans="1:4" ht="12.75">
      <c r="A108" s="49" t="s">
        <v>165</v>
      </c>
      <c r="B108" s="144"/>
      <c r="C108" s="36"/>
      <c r="D108" s="45"/>
    </row>
    <row r="109" spans="1:4" ht="12.75">
      <c r="A109" s="54" t="s">
        <v>162</v>
      </c>
      <c r="B109" s="58" t="s">
        <v>401</v>
      </c>
      <c r="C109" s="56">
        <v>1</v>
      </c>
      <c r="D109" s="68" t="s">
        <v>44</v>
      </c>
    </row>
    <row r="110" spans="1:4" ht="12.75">
      <c r="A110" s="54" t="s">
        <v>163</v>
      </c>
      <c r="B110" s="58" t="s">
        <v>401</v>
      </c>
      <c r="C110" s="56">
        <v>1</v>
      </c>
      <c r="D110" s="89" t="s">
        <v>164</v>
      </c>
    </row>
    <row r="111" spans="1:4" ht="12.75">
      <c r="A111" s="49" t="s">
        <v>166</v>
      </c>
      <c r="B111" s="144"/>
      <c r="C111" s="36"/>
      <c r="D111" s="45"/>
    </row>
    <row r="112" spans="1:4" ht="12.75">
      <c r="A112" s="54" t="s">
        <v>162</v>
      </c>
      <c r="B112" s="56" t="s">
        <v>39</v>
      </c>
      <c r="C112" s="56">
        <f>4.4+86.2</f>
        <v>90.60000000000001</v>
      </c>
      <c r="D112" s="47" t="s">
        <v>175</v>
      </c>
    </row>
    <row r="113" spans="1:4" ht="12.75">
      <c r="A113" s="54" t="s">
        <v>163</v>
      </c>
      <c r="B113" s="56" t="s">
        <v>39</v>
      </c>
      <c r="C113" s="56">
        <f>4.4+86.2</f>
        <v>90.60000000000001</v>
      </c>
      <c r="D113" s="89" t="s">
        <v>164</v>
      </c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4:C24"/>
    <mergeCell ref="A48:C48"/>
    <mergeCell ref="A49:C49"/>
    <mergeCell ref="A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B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72:B72"/>
    <mergeCell ref="A76:B76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141"/>
  <sheetViews>
    <sheetView workbookViewId="0" topLeftCell="A47">
      <selection activeCell="B159" sqref="B159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7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206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207</v>
      </c>
    </row>
    <row r="8" spans="1:3" ht="12.75">
      <c r="A8" s="1" t="s">
        <v>7</v>
      </c>
      <c r="C8" s="4" t="s">
        <v>208</v>
      </c>
    </row>
    <row r="9" spans="1:3" ht="12.75">
      <c r="A9" s="1" t="s">
        <v>9</v>
      </c>
      <c r="C9" s="70" t="s">
        <v>209</v>
      </c>
    </row>
    <row r="10" ht="12.75">
      <c r="C10" s="7"/>
    </row>
    <row r="11" spans="1:3" ht="12.75">
      <c r="A11" s="1" t="s">
        <v>11</v>
      </c>
      <c r="C11" s="7" t="s">
        <v>210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24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83"/>
    </row>
    <row r="24" spans="1:3" ht="12.75">
      <c r="A24" s="1" t="s">
        <v>32</v>
      </c>
      <c r="C24" s="71">
        <v>0.8836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915.1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915.1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4241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88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263</v>
      </c>
      <c r="D33" s="16" t="s">
        <v>48</v>
      </c>
    </row>
    <row r="34" spans="1:4" ht="25.5">
      <c r="A34" s="13" t="s">
        <v>49</v>
      </c>
      <c r="B34" s="17" t="s">
        <v>50</v>
      </c>
      <c r="C34" s="73">
        <v>915.1</v>
      </c>
      <c r="D34" s="16" t="s">
        <v>51</v>
      </c>
    </row>
    <row r="35" spans="1:4" ht="25.5">
      <c r="A35" s="13" t="s">
        <v>52</v>
      </c>
      <c r="B35" s="17" t="s">
        <v>39</v>
      </c>
      <c r="C35" s="15">
        <v>1373</v>
      </c>
      <c r="D35" s="16" t="s">
        <v>53</v>
      </c>
    </row>
    <row r="36" spans="1:4" ht="12.75">
      <c r="A36" s="13" t="s">
        <v>54</v>
      </c>
      <c r="B36" s="17" t="s">
        <v>39</v>
      </c>
      <c r="C36" s="15">
        <v>3</v>
      </c>
      <c r="D36" s="16" t="s">
        <v>55</v>
      </c>
    </row>
    <row r="37" spans="1:4" ht="12.75" customHeight="1">
      <c r="A37" s="13" t="s">
        <v>56</v>
      </c>
      <c r="B37" s="17" t="s">
        <v>39</v>
      </c>
      <c r="C37" s="15">
        <v>3</v>
      </c>
      <c r="D37" s="16" t="s">
        <v>57</v>
      </c>
    </row>
    <row r="38" spans="1:4" ht="25.5">
      <c r="A38" s="13"/>
      <c r="B38" s="17" t="s">
        <v>39</v>
      </c>
      <c r="C38" s="15">
        <v>3</v>
      </c>
      <c r="D38" s="16" t="s">
        <v>58</v>
      </c>
    </row>
    <row r="39" spans="1:4" ht="25.5">
      <c r="A39" s="13" t="s">
        <v>59</v>
      </c>
      <c r="B39" s="17" t="s">
        <v>39</v>
      </c>
      <c r="C39" s="15">
        <v>27</v>
      </c>
      <c r="D39" s="16" t="s">
        <v>60</v>
      </c>
    </row>
    <row r="40" spans="1:4" ht="12.75">
      <c r="A40" s="13" t="s">
        <v>61</v>
      </c>
      <c r="B40" s="17" t="s">
        <v>39</v>
      </c>
      <c r="C40" s="15">
        <v>849</v>
      </c>
      <c r="D40" s="16" t="s">
        <v>46</v>
      </c>
    </row>
    <row r="41" spans="1:4" ht="25.5">
      <c r="A41" s="13" t="s">
        <v>62</v>
      </c>
      <c r="B41" s="17" t="s">
        <v>39</v>
      </c>
      <c r="C41" s="73">
        <v>915</v>
      </c>
      <c r="D41" s="16" t="s">
        <v>53</v>
      </c>
    </row>
    <row r="42" spans="1:4" ht="12.75">
      <c r="A42" s="13" t="s">
        <v>63</v>
      </c>
      <c r="B42" s="17" t="s">
        <v>39</v>
      </c>
      <c r="C42" s="15">
        <v>3</v>
      </c>
      <c r="D42" s="16" t="s">
        <v>44</v>
      </c>
    </row>
    <row r="43" spans="1:4" ht="12.75">
      <c r="A43" s="13" t="s">
        <v>64</v>
      </c>
      <c r="B43" s="17" t="s">
        <v>39</v>
      </c>
      <c r="C43" s="15">
        <v>121</v>
      </c>
      <c r="D43" s="16" t="s">
        <v>44</v>
      </c>
    </row>
    <row r="44" spans="1:4" ht="25.5">
      <c r="A44" s="13" t="s">
        <v>65</v>
      </c>
      <c r="B44" s="17" t="s">
        <v>39</v>
      </c>
      <c r="C44" s="15">
        <v>36</v>
      </c>
      <c r="D44" s="16" t="s">
        <v>53</v>
      </c>
    </row>
    <row r="45" spans="1:4" ht="12.75">
      <c r="A45" s="13" t="s">
        <v>66</v>
      </c>
      <c r="B45" s="17" t="s">
        <v>67</v>
      </c>
      <c r="C45" s="15">
        <v>3</v>
      </c>
      <c r="D45" s="16" t="s">
        <v>60</v>
      </c>
    </row>
    <row r="46" spans="1:4" ht="25.5">
      <c r="A46" s="13" t="s">
        <v>68</v>
      </c>
      <c r="B46" s="17" t="s">
        <v>67</v>
      </c>
      <c r="C46" s="15">
        <v>3</v>
      </c>
      <c r="D46" s="16" t="s">
        <v>69</v>
      </c>
    </row>
    <row r="47" spans="1:4" ht="12.75">
      <c r="A47" s="13" t="s">
        <v>70</v>
      </c>
      <c r="B47" s="17" t="s">
        <v>39</v>
      </c>
      <c r="C47" s="15">
        <v>15</v>
      </c>
      <c r="D47" s="16" t="s">
        <v>71</v>
      </c>
    </row>
    <row r="48" spans="1:4" ht="25.5">
      <c r="A48" s="13" t="s">
        <v>72</v>
      </c>
      <c r="B48" s="17" t="s">
        <v>39</v>
      </c>
      <c r="C48" s="15">
        <f>1*1.88*8*3</f>
        <v>45.12</v>
      </c>
      <c r="D48" s="16" t="s">
        <v>53</v>
      </c>
    </row>
    <row r="49" spans="1:4" ht="25.5">
      <c r="A49" s="13" t="s">
        <v>73</v>
      </c>
      <c r="B49" s="17" t="s">
        <v>67</v>
      </c>
      <c r="C49" s="15">
        <v>3</v>
      </c>
      <c r="D49" s="16" t="s">
        <v>44</v>
      </c>
    </row>
    <row r="50" spans="1:4" ht="12.75">
      <c r="A50" s="13" t="s">
        <v>74</v>
      </c>
      <c r="B50" s="17" t="s">
        <v>39</v>
      </c>
      <c r="C50" s="15">
        <v>849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25.5" customHeight="1">
      <c r="A56" s="13" t="s">
        <v>82</v>
      </c>
      <c r="B56" s="24" t="s">
        <v>79</v>
      </c>
      <c r="C56" s="24"/>
      <c r="D56" s="13" t="s">
        <v>83</v>
      </c>
    </row>
    <row r="57" spans="1:4" ht="25.5" customHeight="1">
      <c r="A57" s="13" t="s">
        <v>84</v>
      </c>
      <c r="B57" s="24" t="s">
        <v>79</v>
      </c>
      <c r="C57" s="24"/>
      <c r="D57" s="13" t="s">
        <v>83</v>
      </c>
    </row>
    <row r="58" spans="1:4" ht="25.5" customHeight="1">
      <c r="A58" s="13" t="s">
        <v>85</v>
      </c>
      <c r="B58" s="24" t="s">
        <v>79</v>
      </c>
      <c r="C58" s="24"/>
      <c r="D58" s="13" t="s">
        <v>86</v>
      </c>
    </row>
    <row r="59" spans="1:4" ht="26.25" customHeight="1">
      <c r="A59" s="13" t="s">
        <v>87</v>
      </c>
      <c r="B59" s="24" t="s">
        <v>79</v>
      </c>
      <c r="C59" s="24"/>
      <c r="D59" s="13" t="s">
        <v>88</v>
      </c>
    </row>
    <row r="60" spans="1:4" ht="25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5.5" customHeight="1">
      <c r="A62" s="13" t="s">
        <v>91</v>
      </c>
      <c r="B62" s="24" t="s">
        <v>79</v>
      </c>
      <c r="C62" s="24"/>
      <c r="D62" s="13" t="s">
        <v>92</v>
      </c>
    </row>
    <row r="63" spans="1:4" ht="25.5" customHeight="1">
      <c r="A63" s="25" t="s">
        <v>93</v>
      </c>
      <c r="B63" s="26" t="s">
        <v>79</v>
      </c>
      <c r="C63" s="26"/>
      <c r="D63" s="27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7.75" customHeight="1">
      <c r="A65" s="13" t="s">
        <v>96</v>
      </c>
      <c r="B65" s="24" t="s">
        <v>79</v>
      </c>
      <c r="C65" s="24"/>
      <c r="D65" s="13" t="s">
        <v>88</v>
      </c>
    </row>
    <row r="66" spans="1:4" ht="25.5" customHeight="1">
      <c r="A66" s="13" t="s">
        <v>97</v>
      </c>
      <c r="B66" s="24" t="s">
        <v>79</v>
      </c>
      <c r="C66" s="24"/>
      <c r="D66" s="13" t="s">
        <v>98</v>
      </c>
    </row>
    <row r="67" spans="1:4" ht="25.5" customHeight="1">
      <c r="A67" s="13" t="s">
        <v>99</v>
      </c>
      <c r="B67" s="24" t="s">
        <v>79</v>
      </c>
      <c r="C67" s="24"/>
      <c r="D67" s="13" t="s">
        <v>100</v>
      </c>
    </row>
    <row r="68" spans="1:4" ht="27.75" customHeight="1">
      <c r="A68" s="13" t="s">
        <v>101</v>
      </c>
      <c r="B68" s="24" t="s">
        <v>79</v>
      </c>
      <c r="C68" s="24"/>
      <c r="D68" s="13" t="s">
        <v>88</v>
      </c>
    </row>
    <row r="69" spans="1:4" ht="26.25" customHeight="1">
      <c r="A69" s="13" t="s">
        <v>102</v>
      </c>
      <c r="B69" s="24" t="s">
        <v>79</v>
      </c>
      <c r="C69" s="24"/>
      <c r="D69" s="13" t="s">
        <v>60</v>
      </c>
    </row>
    <row r="70" spans="1:4" ht="30" customHeight="1">
      <c r="A70" s="13" t="s">
        <v>103</v>
      </c>
      <c r="B70" s="24" t="s">
        <v>79</v>
      </c>
      <c r="C70" s="24"/>
      <c r="D70" s="13" t="s">
        <v>104</v>
      </c>
    </row>
    <row r="71" spans="1:4" ht="25.5" customHeight="1">
      <c r="A71" s="13" t="s">
        <v>105</v>
      </c>
      <c r="B71" s="24" t="s">
        <v>79</v>
      </c>
      <c r="C71" s="24"/>
      <c r="D71" s="13" t="s">
        <v>106</v>
      </c>
    </row>
    <row r="72" spans="1:4" ht="12.75" customHeight="1">
      <c r="A72" s="13" t="s">
        <v>107</v>
      </c>
      <c r="B72" s="24" t="s">
        <v>79</v>
      </c>
      <c r="C72" s="24"/>
      <c r="D72" s="13" t="s">
        <v>108</v>
      </c>
    </row>
    <row r="73" spans="1:4" ht="24.75" customHeight="1">
      <c r="A73" s="13" t="s">
        <v>89</v>
      </c>
      <c r="B73" s="24" t="s">
        <v>79</v>
      </c>
      <c r="C73" s="24"/>
      <c r="D73" s="13" t="s">
        <v>40</v>
      </c>
    </row>
    <row r="74" spans="1:4" ht="12.7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4" ht="27.75" customHeight="1">
      <c r="A76" s="13" t="s">
        <v>111</v>
      </c>
      <c r="B76" s="14" t="s">
        <v>112</v>
      </c>
      <c r="C76" s="15">
        <f>282*1.15*12</f>
        <v>3891.5999999999995</v>
      </c>
      <c r="D76" s="74" t="s">
        <v>69</v>
      </c>
    </row>
    <row r="77" spans="1:4" ht="12.75">
      <c r="A77" s="13" t="s">
        <v>113</v>
      </c>
      <c r="B77" s="33" t="s">
        <v>112</v>
      </c>
      <c r="C77" s="15">
        <f>0.75*3*2*51</f>
        <v>229.5</v>
      </c>
      <c r="D77" s="74" t="s">
        <v>114</v>
      </c>
    </row>
    <row r="78" spans="1:4" ht="12.75">
      <c r="A78" s="13" t="s">
        <v>115</v>
      </c>
      <c r="B78" s="14" t="s">
        <v>67</v>
      </c>
      <c r="C78" s="15">
        <v>3</v>
      </c>
      <c r="D78" s="74" t="s">
        <v>116</v>
      </c>
    </row>
    <row r="79" spans="1:4" ht="12.75" customHeight="1">
      <c r="A79" s="75" t="s">
        <v>117</v>
      </c>
      <c r="B79" s="75"/>
      <c r="C79" s="76"/>
      <c r="D79" s="77"/>
    </row>
    <row r="80" spans="1:4" ht="12.75">
      <c r="A80" s="35" t="s">
        <v>118</v>
      </c>
      <c r="B80" s="36"/>
      <c r="C80" s="37"/>
      <c r="D80" s="38"/>
    </row>
    <row r="81" spans="1:4" ht="12.75">
      <c r="A81" s="39" t="s">
        <v>119</v>
      </c>
      <c r="B81" s="40" t="s">
        <v>39</v>
      </c>
      <c r="C81" s="41">
        <f>0.5+6</f>
        <v>6.5</v>
      </c>
      <c r="D81" s="42"/>
    </row>
    <row r="82" spans="1:4" ht="12.75">
      <c r="A82" s="39" t="s">
        <v>120</v>
      </c>
      <c r="B82" s="40" t="s">
        <v>67</v>
      </c>
      <c r="C82" s="41">
        <v>3</v>
      </c>
      <c r="D82" s="47" t="s">
        <v>186</v>
      </c>
    </row>
    <row r="83" spans="1:4" ht="12.75">
      <c r="A83" s="39" t="s">
        <v>181</v>
      </c>
      <c r="B83" s="40" t="s">
        <v>67</v>
      </c>
      <c r="C83" s="41">
        <v>1</v>
      </c>
      <c r="D83" s="42"/>
    </row>
    <row r="84" spans="1:4" ht="12.75">
      <c r="A84" s="39" t="s">
        <v>183</v>
      </c>
      <c r="B84" s="40" t="s">
        <v>133</v>
      </c>
      <c r="C84" s="41">
        <v>120</v>
      </c>
      <c r="D84" s="42"/>
    </row>
    <row r="85" spans="1:4" ht="12.75">
      <c r="A85" s="39" t="s">
        <v>121</v>
      </c>
      <c r="B85" s="40" t="s">
        <v>122</v>
      </c>
      <c r="C85" s="41">
        <v>6</v>
      </c>
      <c r="D85" s="42"/>
    </row>
    <row r="86" spans="1:4" ht="12.75">
      <c r="A86" s="39" t="s">
        <v>211</v>
      </c>
      <c r="B86" s="40" t="s">
        <v>67</v>
      </c>
      <c r="C86" s="40">
        <v>18</v>
      </c>
      <c r="D86" s="42"/>
    </row>
    <row r="87" spans="1:4" ht="12.75">
      <c r="A87" s="35" t="s">
        <v>126</v>
      </c>
      <c r="B87" s="36"/>
      <c r="C87" s="36"/>
      <c r="D87" s="45"/>
    </row>
    <row r="88" spans="1:4" ht="12.75">
      <c r="A88" s="43" t="s">
        <v>127</v>
      </c>
      <c r="B88" s="46" t="s">
        <v>67</v>
      </c>
      <c r="C88" s="41">
        <f>1+2</f>
        <v>3</v>
      </c>
      <c r="D88" s="42"/>
    </row>
    <row r="89" spans="1:4" ht="12.75">
      <c r="A89" s="43" t="s">
        <v>185</v>
      </c>
      <c r="B89" s="46" t="s">
        <v>67</v>
      </c>
      <c r="C89" s="41">
        <v>1</v>
      </c>
      <c r="D89" s="42"/>
    </row>
    <row r="90" spans="1:4" ht="12.75">
      <c r="A90" s="43" t="s">
        <v>212</v>
      </c>
      <c r="B90" s="46" t="s">
        <v>67</v>
      </c>
      <c r="C90" s="41">
        <f>1+1+4+2+1</f>
        <v>9</v>
      </c>
      <c r="D90" s="42"/>
    </row>
    <row r="91" spans="1:4" ht="12.75">
      <c r="A91" s="43" t="s">
        <v>129</v>
      </c>
      <c r="B91" s="40" t="s">
        <v>67</v>
      </c>
      <c r="C91" s="41">
        <f>2+1</f>
        <v>3</v>
      </c>
      <c r="D91" s="42"/>
    </row>
    <row r="92" spans="1:4" s="1" customFormat="1" ht="12.75">
      <c r="A92" s="43" t="s">
        <v>131</v>
      </c>
      <c r="B92" s="41" t="s">
        <v>67</v>
      </c>
      <c r="C92" s="41">
        <v>3</v>
      </c>
      <c r="D92" s="68" t="s">
        <v>130</v>
      </c>
    </row>
    <row r="93" spans="1:4" ht="12.75">
      <c r="A93" s="43" t="s">
        <v>189</v>
      </c>
      <c r="B93" s="40" t="s">
        <v>133</v>
      </c>
      <c r="C93" s="41">
        <f>3</f>
        <v>3</v>
      </c>
      <c r="D93" s="42"/>
    </row>
    <row r="94" spans="1:4" ht="12.75">
      <c r="A94" s="43" t="s">
        <v>134</v>
      </c>
      <c r="B94" s="40" t="s">
        <v>39</v>
      </c>
      <c r="C94" s="41">
        <f>0.9+0.3+1.5+0.6+1.6+1.8+0.6+2.2+0.5+0.3+1.5+1.7+1.6+0.4+2.4+1.2+0.9+0.3+0.7</f>
        <v>20.999999999999996</v>
      </c>
      <c r="D94" s="42"/>
    </row>
    <row r="95" spans="1:4" ht="12.75">
      <c r="A95" s="43" t="s">
        <v>135</v>
      </c>
      <c r="B95" s="40" t="s">
        <v>67</v>
      </c>
      <c r="C95" s="40">
        <f>2+2</f>
        <v>4</v>
      </c>
      <c r="D95" s="42"/>
    </row>
    <row r="96" spans="1:4" ht="12.75">
      <c r="A96" s="43" t="s">
        <v>136</v>
      </c>
      <c r="B96" s="40" t="s">
        <v>67</v>
      </c>
      <c r="C96" s="40">
        <f>1</f>
        <v>1</v>
      </c>
      <c r="D96" s="42"/>
    </row>
    <row r="97" spans="1:4" ht="12.75">
      <c r="A97" s="35" t="s">
        <v>137</v>
      </c>
      <c r="B97" s="48"/>
      <c r="C97" s="36"/>
      <c r="D97" s="45"/>
    </row>
    <row r="98" spans="1:4" ht="12.75">
      <c r="A98" s="39" t="s">
        <v>142</v>
      </c>
      <c r="B98" s="40" t="s">
        <v>122</v>
      </c>
      <c r="C98" s="40">
        <v>1</v>
      </c>
      <c r="D98" s="42"/>
    </row>
    <row r="99" spans="1:4" ht="12.75">
      <c r="A99" s="39" t="s">
        <v>138</v>
      </c>
      <c r="B99" s="40" t="s">
        <v>122</v>
      </c>
      <c r="C99" s="41">
        <v>3</v>
      </c>
      <c r="D99" s="42"/>
    </row>
    <row r="100" spans="1:4" ht="12.75">
      <c r="A100" s="35" t="s">
        <v>213</v>
      </c>
      <c r="B100" s="36"/>
      <c r="C100" s="36"/>
      <c r="D100" s="45"/>
    </row>
    <row r="101" spans="1:4" ht="12.75">
      <c r="A101" s="80" t="s">
        <v>214</v>
      </c>
      <c r="B101" s="41" t="s">
        <v>67</v>
      </c>
      <c r="C101" s="41">
        <v>1</v>
      </c>
      <c r="D101" s="47"/>
    </row>
    <row r="102" spans="1:4" ht="12.75">
      <c r="A102" s="49" t="s">
        <v>141</v>
      </c>
      <c r="B102" s="36"/>
      <c r="C102" s="50"/>
      <c r="D102" s="45"/>
    </row>
    <row r="103" spans="1:4" ht="12.75">
      <c r="A103" s="52" t="s">
        <v>215</v>
      </c>
      <c r="B103" s="84" t="s">
        <v>39</v>
      </c>
      <c r="C103" s="40">
        <f>9.5+0.5</f>
        <v>10</v>
      </c>
      <c r="D103" s="42"/>
    </row>
    <row r="104" spans="1:4" ht="12.75">
      <c r="A104" s="51" t="s">
        <v>216</v>
      </c>
      <c r="B104" s="41" t="s">
        <v>67</v>
      </c>
      <c r="C104" s="40"/>
      <c r="D104" s="42"/>
    </row>
    <row r="105" spans="1:4" ht="12.75">
      <c r="A105" s="51" t="s">
        <v>217</v>
      </c>
      <c r="B105" s="41" t="s">
        <v>67</v>
      </c>
      <c r="C105" s="40">
        <f>1+1</f>
        <v>2</v>
      </c>
      <c r="D105" s="42"/>
    </row>
    <row r="106" spans="1:4" ht="12.75">
      <c r="A106" s="51" t="s">
        <v>218</v>
      </c>
      <c r="B106" s="41" t="s">
        <v>39</v>
      </c>
      <c r="C106" s="40">
        <v>0.5</v>
      </c>
      <c r="D106" s="42"/>
    </row>
    <row r="107" spans="1:4" s="1" customFormat="1" ht="12.75">
      <c r="A107" s="43" t="s">
        <v>219</v>
      </c>
      <c r="B107" s="41" t="s">
        <v>67</v>
      </c>
      <c r="C107" s="41">
        <v>1</v>
      </c>
      <c r="D107" s="44"/>
    </row>
    <row r="108" spans="1:4" ht="12.75">
      <c r="A108" s="39" t="s">
        <v>220</v>
      </c>
      <c r="B108" s="41" t="s">
        <v>67</v>
      </c>
      <c r="C108" s="40">
        <v>1</v>
      </c>
      <c r="D108" s="42"/>
    </row>
    <row r="109" spans="1:4" ht="12.75">
      <c r="A109" s="51" t="s">
        <v>143</v>
      </c>
      <c r="B109" s="40" t="s">
        <v>67</v>
      </c>
      <c r="C109" s="41">
        <f>9</f>
        <v>9</v>
      </c>
      <c r="D109" s="42"/>
    </row>
    <row r="110" spans="1:4" ht="12.75">
      <c r="A110" s="49" t="s">
        <v>145</v>
      </c>
      <c r="B110" s="36"/>
      <c r="C110" s="36"/>
      <c r="D110" s="45"/>
    </row>
    <row r="111" spans="1:4" ht="12.75">
      <c r="A111" s="51" t="s">
        <v>221</v>
      </c>
      <c r="B111" s="41" t="s">
        <v>39</v>
      </c>
      <c r="C111" s="40">
        <v>5.5</v>
      </c>
      <c r="D111" s="42"/>
    </row>
    <row r="112" spans="1:4" ht="12.75">
      <c r="A112" s="52" t="s">
        <v>194</v>
      </c>
      <c r="B112" s="41" t="s">
        <v>133</v>
      </c>
      <c r="C112" s="40">
        <f>12+12+2.8</f>
        <v>26.8</v>
      </c>
      <c r="D112" s="42"/>
    </row>
    <row r="113" spans="1:4" s="1" customFormat="1" ht="12.75">
      <c r="A113" s="80" t="s">
        <v>222</v>
      </c>
      <c r="B113" s="41" t="s">
        <v>112</v>
      </c>
      <c r="C113" s="41">
        <v>21</v>
      </c>
      <c r="D113" s="68"/>
    </row>
    <row r="114" spans="1:4" ht="12.75">
      <c r="A114" s="52" t="s">
        <v>223</v>
      </c>
      <c r="B114" s="41" t="s">
        <v>39</v>
      </c>
      <c r="C114" s="40">
        <f>648</f>
        <v>648</v>
      </c>
      <c r="D114" s="42"/>
    </row>
    <row r="115" spans="1:4" ht="12.75">
      <c r="A115" s="52" t="s">
        <v>146</v>
      </c>
      <c r="B115" s="40" t="s">
        <v>67</v>
      </c>
      <c r="C115" s="40">
        <v>1</v>
      </c>
      <c r="D115" s="42"/>
    </row>
    <row r="116" spans="1:4" ht="12.75">
      <c r="A116" s="52" t="s">
        <v>147</v>
      </c>
      <c r="B116" s="40" t="s">
        <v>67</v>
      </c>
      <c r="C116" s="40">
        <v>3</v>
      </c>
      <c r="D116" s="42"/>
    </row>
    <row r="117" spans="1:4" ht="12.75">
      <c r="A117" s="52" t="s">
        <v>149</v>
      </c>
      <c r="B117" s="40" t="s">
        <v>67</v>
      </c>
      <c r="C117" s="40">
        <v>3</v>
      </c>
      <c r="D117" s="42"/>
    </row>
    <row r="118" spans="1:4" s="1" customFormat="1" ht="12.75">
      <c r="A118" s="80" t="s">
        <v>196</v>
      </c>
      <c r="B118" s="41" t="s">
        <v>67</v>
      </c>
      <c r="C118" s="41">
        <f>1+22</f>
        <v>23</v>
      </c>
      <c r="D118" s="68"/>
    </row>
    <row r="119" spans="1:4" s="1" customFormat="1" ht="12.75">
      <c r="A119" s="80" t="s">
        <v>151</v>
      </c>
      <c r="B119" s="41" t="s">
        <v>39</v>
      </c>
      <c r="C119" s="41">
        <v>430</v>
      </c>
      <c r="D119" s="68" t="s">
        <v>186</v>
      </c>
    </row>
    <row r="120" spans="1:4" ht="12.75">
      <c r="A120" s="52" t="s">
        <v>152</v>
      </c>
      <c r="B120" s="41" t="s">
        <v>133</v>
      </c>
      <c r="C120" s="40"/>
      <c r="D120" s="42"/>
    </row>
    <row r="121" spans="1:4" ht="12.75">
      <c r="A121" s="53" t="s">
        <v>153</v>
      </c>
      <c r="B121" s="41" t="s">
        <v>67</v>
      </c>
      <c r="C121" s="40">
        <f>39</f>
        <v>39</v>
      </c>
      <c r="D121" s="42"/>
    </row>
    <row r="122" spans="1:4" ht="12.75">
      <c r="A122" s="52" t="s">
        <v>198</v>
      </c>
      <c r="B122" s="41" t="s">
        <v>67</v>
      </c>
      <c r="C122" s="40">
        <f>1</f>
        <v>1</v>
      </c>
      <c r="D122" s="42"/>
    </row>
    <row r="123" spans="1:4" ht="12.75">
      <c r="A123" s="49" t="s">
        <v>157</v>
      </c>
      <c r="B123" s="36"/>
      <c r="C123" s="36"/>
      <c r="D123" s="45"/>
    </row>
    <row r="124" spans="1:4" s="1" customFormat="1" ht="12.75">
      <c r="A124" s="51" t="s">
        <v>158</v>
      </c>
      <c r="B124" s="40" t="s">
        <v>67</v>
      </c>
      <c r="C124" s="41">
        <v>6</v>
      </c>
      <c r="D124" s="47" t="s">
        <v>224</v>
      </c>
    </row>
    <row r="125" spans="1:4" s="1" customFormat="1" ht="12.75">
      <c r="A125" s="80" t="s">
        <v>202</v>
      </c>
      <c r="B125" s="41" t="s">
        <v>39</v>
      </c>
      <c r="C125" s="41">
        <v>80</v>
      </c>
      <c r="D125" s="44"/>
    </row>
    <row r="126" spans="1:4" ht="12.75">
      <c r="A126" s="51" t="s">
        <v>203</v>
      </c>
      <c r="B126" s="40" t="s">
        <v>67</v>
      </c>
      <c r="C126" s="40">
        <v>2</v>
      </c>
      <c r="D126" s="42"/>
    </row>
    <row r="127" spans="1:4" ht="12.75">
      <c r="A127" s="51" t="s">
        <v>159</v>
      </c>
      <c r="B127" s="40" t="s">
        <v>67</v>
      </c>
      <c r="C127" s="40">
        <v>3</v>
      </c>
      <c r="D127" s="42"/>
    </row>
    <row r="128" spans="1:4" ht="12.75">
      <c r="A128" s="51" t="s">
        <v>160</v>
      </c>
      <c r="B128" s="40" t="s">
        <v>67</v>
      </c>
      <c r="C128" s="40">
        <v>3</v>
      </c>
      <c r="D128" s="42"/>
    </row>
    <row r="129" spans="1:4" ht="25.5">
      <c r="A129" s="35" t="s">
        <v>161</v>
      </c>
      <c r="B129" s="36"/>
      <c r="C129" s="37"/>
      <c r="D129" s="45"/>
    </row>
    <row r="130" spans="1:4" ht="12.75">
      <c r="A130" s="54" t="s">
        <v>162</v>
      </c>
      <c r="B130" s="55" t="s">
        <v>39</v>
      </c>
      <c r="C130" s="56">
        <v>849</v>
      </c>
      <c r="D130" s="57" t="s">
        <v>44</v>
      </c>
    </row>
    <row r="131" spans="1:4" ht="25.5">
      <c r="A131" s="54" t="s">
        <v>163</v>
      </c>
      <c r="B131" s="58" t="s">
        <v>39</v>
      </c>
      <c r="C131" s="56">
        <v>849</v>
      </c>
      <c r="D131" s="59" t="s">
        <v>164</v>
      </c>
    </row>
    <row r="132" spans="1:4" ht="12.75" customHeight="1">
      <c r="A132" s="35" t="s">
        <v>165</v>
      </c>
      <c r="B132" s="36"/>
      <c r="C132" s="37"/>
      <c r="D132" s="45"/>
    </row>
    <row r="133" spans="1:4" ht="12.75">
      <c r="A133" s="54" t="s">
        <v>162</v>
      </c>
      <c r="B133" s="55" t="s">
        <v>39</v>
      </c>
      <c r="C133" s="56">
        <f>849+80.64</f>
        <v>929.64</v>
      </c>
      <c r="D133" s="57" t="s">
        <v>44</v>
      </c>
    </row>
    <row r="134" spans="1:4" ht="12.75">
      <c r="A134" s="54" t="s">
        <v>163</v>
      </c>
      <c r="B134" s="55" t="s">
        <v>39</v>
      </c>
      <c r="C134" s="56">
        <f>849+80.64</f>
        <v>929.64</v>
      </c>
      <c r="D134" s="59" t="s">
        <v>164</v>
      </c>
    </row>
    <row r="135" spans="1:4" ht="13.5" customHeight="1">
      <c r="A135" s="35" t="s">
        <v>166</v>
      </c>
      <c r="B135" s="36"/>
      <c r="C135" s="37"/>
      <c r="D135" s="45"/>
    </row>
    <row r="136" spans="1:4" ht="12.75">
      <c r="A136" s="54" t="s">
        <v>162</v>
      </c>
      <c r="B136" s="55" t="s">
        <v>39</v>
      </c>
      <c r="C136" s="56">
        <f>849+403.5+521.2</f>
        <v>1773.7</v>
      </c>
      <c r="D136" s="47" t="s">
        <v>175</v>
      </c>
    </row>
    <row r="137" spans="1:4" ht="12.75">
      <c r="A137" s="54" t="s">
        <v>163</v>
      </c>
      <c r="B137" s="58" t="s">
        <v>39</v>
      </c>
      <c r="C137" s="56">
        <f>849+403.5+521.2</f>
        <v>1773.7</v>
      </c>
      <c r="D137" s="59" t="s">
        <v>164</v>
      </c>
    </row>
    <row r="138" spans="1:4" ht="12.75" customHeight="1">
      <c r="A138" s="35" t="s">
        <v>168</v>
      </c>
      <c r="B138" s="36"/>
      <c r="C138" s="37"/>
      <c r="D138" s="45"/>
    </row>
    <row r="139" spans="1:5" ht="12.75">
      <c r="A139" s="54" t="s">
        <v>169</v>
      </c>
      <c r="B139" s="55" t="s">
        <v>170</v>
      </c>
      <c r="C139" s="66" t="s">
        <v>171</v>
      </c>
      <c r="D139" s="47" t="s">
        <v>44</v>
      </c>
      <c r="E139" s="67"/>
    </row>
    <row r="140" spans="1:4" ht="12.75">
      <c r="A140" s="54" t="s">
        <v>172</v>
      </c>
      <c r="B140" s="55" t="s">
        <v>170</v>
      </c>
      <c r="C140" s="66" t="s">
        <v>171</v>
      </c>
      <c r="D140" s="85" t="s">
        <v>225</v>
      </c>
    </row>
    <row r="141" spans="1:4" ht="12.75">
      <c r="A141" s="69" t="s">
        <v>174</v>
      </c>
      <c r="B141" s="55" t="s">
        <v>170</v>
      </c>
      <c r="C141" s="55">
        <v>3</v>
      </c>
      <c r="D141" s="68" t="s">
        <v>175</v>
      </c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4"/>
  </sheetPr>
  <dimension ref="A1:H120"/>
  <sheetViews>
    <sheetView workbookViewId="0" topLeftCell="A97">
      <selection activeCell="F134" sqref="F134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452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453</v>
      </c>
    </row>
    <row r="8" spans="1:3" ht="12.75">
      <c r="A8" s="1" t="s">
        <v>7</v>
      </c>
      <c r="C8" s="4" t="s">
        <v>454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" t="s">
        <v>455</v>
      </c>
    </row>
    <row r="12" spans="1:3" ht="12.75">
      <c r="A12" s="1" t="s">
        <v>13</v>
      </c>
      <c r="C12" s="83"/>
    </row>
    <row r="13" spans="1:3" ht="12.75">
      <c r="A13" s="1" t="s">
        <v>14</v>
      </c>
      <c r="C13" s="83"/>
    </row>
    <row r="14" spans="1:3" ht="12.75">
      <c r="A14" s="1" t="s">
        <v>15</v>
      </c>
      <c r="B14" s="1" t="s">
        <v>16</v>
      </c>
      <c r="C14" s="83"/>
    </row>
    <row r="15" spans="1:3" ht="12.75">
      <c r="A15" s="1" t="s">
        <v>17</v>
      </c>
      <c r="B15" s="1" t="s">
        <v>18</v>
      </c>
      <c r="C15" s="83"/>
    </row>
    <row r="16" spans="1:3" ht="12.75">
      <c r="A16" s="1" t="s">
        <v>19</v>
      </c>
      <c r="B16" s="1" t="s">
        <v>20</v>
      </c>
      <c r="C16" s="83"/>
    </row>
    <row r="17" spans="1:3" ht="12.75">
      <c r="A17" s="1" t="s">
        <v>25</v>
      </c>
      <c r="B17" s="1" t="s">
        <v>26</v>
      </c>
      <c r="C17" s="83"/>
    </row>
    <row r="18" spans="1:3" ht="12.75">
      <c r="A18" s="1" t="s">
        <v>27</v>
      </c>
      <c r="B18" s="1" t="s">
        <v>28</v>
      </c>
      <c r="C18" s="83"/>
    </row>
    <row r="19" spans="1:3" ht="12.75">
      <c r="A19" s="1" t="s">
        <v>29</v>
      </c>
      <c r="C19" s="83"/>
    </row>
    <row r="20" spans="1:3" ht="12.75">
      <c r="A20" s="1" t="s">
        <v>30</v>
      </c>
      <c r="B20" s="1" t="s">
        <v>31</v>
      </c>
      <c r="C20" s="7"/>
    </row>
    <row r="21" ht="12.75">
      <c r="C21" s="7"/>
    </row>
    <row r="22" spans="1:3" ht="12.75">
      <c r="A22" s="1" t="s">
        <v>32</v>
      </c>
      <c r="C22" s="71">
        <v>0.4933</v>
      </c>
    </row>
    <row r="23" spans="1:3" ht="12.75">
      <c r="A23" s="72"/>
      <c r="C23" s="7"/>
    </row>
    <row r="24" spans="1:3" ht="12.75" customHeight="1">
      <c r="A24" s="10" t="s">
        <v>33</v>
      </c>
      <c r="B24" s="10"/>
      <c r="C24" s="10"/>
    </row>
    <row r="25" ht="12.75"/>
    <row r="26" spans="1:4" ht="38.25">
      <c r="A26" s="11" t="s">
        <v>34</v>
      </c>
      <c r="B26" s="11" t="s">
        <v>35</v>
      </c>
      <c r="C26" s="11" t="s">
        <v>36</v>
      </c>
      <c r="D26" s="12" t="s">
        <v>37</v>
      </c>
    </row>
    <row r="27" spans="1:4" ht="12.75">
      <c r="A27" s="111" t="s">
        <v>38</v>
      </c>
      <c r="B27" s="121" t="s">
        <v>39</v>
      </c>
      <c r="C27" s="73">
        <v>160.1</v>
      </c>
      <c r="D27" s="122" t="s">
        <v>40</v>
      </c>
    </row>
    <row r="28" spans="1:4" ht="12.75">
      <c r="A28" s="13" t="s">
        <v>41</v>
      </c>
      <c r="B28" s="14" t="s">
        <v>39</v>
      </c>
      <c r="C28" s="73">
        <v>160.1</v>
      </c>
      <c r="D28" s="16" t="s">
        <v>42</v>
      </c>
    </row>
    <row r="29" spans="1:4" ht="12.75">
      <c r="A29" s="13" t="s">
        <v>43</v>
      </c>
      <c r="B29" s="14" t="s">
        <v>39</v>
      </c>
      <c r="C29" s="123">
        <v>730</v>
      </c>
      <c r="D29" s="16" t="s">
        <v>44</v>
      </c>
    </row>
    <row r="30" spans="1:4" ht="12.75">
      <c r="A30" s="13" t="s">
        <v>45</v>
      </c>
      <c r="B30" s="14" t="s">
        <v>39</v>
      </c>
      <c r="C30" s="15">
        <v>1</v>
      </c>
      <c r="D30" s="16" t="s">
        <v>46</v>
      </c>
    </row>
    <row r="31" spans="1:4" ht="12.75">
      <c r="A31" s="13" t="s">
        <v>47</v>
      </c>
      <c r="B31" s="17" t="s">
        <v>39</v>
      </c>
      <c r="C31" s="15">
        <v>1.8</v>
      </c>
      <c r="D31" s="16" t="s">
        <v>48</v>
      </c>
    </row>
    <row r="32" spans="1:4" ht="12.75">
      <c r="A32" s="13" t="s">
        <v>49</v>
      </c>
      <c r="B32" s="17" t="s">
        <v>50</v>
      </c>
      <c r="C32" s="73">
        <v>160.1</v>
      </c>
      <c r="D32" s="16" t="s">
        <v>51</v>
      </c>
    </row>
    <row r="33" spans="1:4" ht="12.75">
      <c r="A33" s="13" t="s">
        <v>52</v>
      </c>
      <c r="B33" s="17" t="s">
        <v>39</v>
      </c>
      <c r="C33" s="15">
        <v>240.15</v>
      </c>
      <c r="D33" s="16" t="s">
        <v>53</v>
      </c>
    </row>
    <row r="34" spans="1:4" ht="12.75">
      <c r="A34" s="13" t="s">
        <v>54</v>
      </c>
      <c r="B34" s="17" t="s">
        <v>39</v>
      </c>
      <c r="C34" s="15"/>
      <c r="D34" s="16" t="s">
        <v>233</v>
      </c>
    </row>
    <row r="35" spans="1:4" ht="12.75">
      <c r="A35" s="13" t="s">
        <v>56</v>
      </c>
      <c r="B35" s="17" t="s">
        <v>39</v>
      </c>
      <c r="C35" s="15"/>
      <c r="D35" s="16" t="s">
        <v>233</v>
      </c>
    </row>
    <row r="36" spans="1:4" ht="12.75">
      <c r="A36" s="13" t="s">
        <v>59</v>
      </c>
      <c r="B36" s="17" t="s">
        <v>39</v>
      </c>
      <c r="C36" s="15"/>
      <c r="D36" s="16" t="s">
        <v>233</v>
      </c>
    </row>
    <row r="37" spans="1:4" ht="12.75">
      <c r="A37" s="13" t="s">
        <v>61</v>
      </c>
      <c r="B37" s="17" t="s">
        <v>39</v>
      </c>
      <c r="C37" s="15">
        <v>820</v>
      </c>
      <c r="D37" s="16" t="s">
        <v>46</v>
      </c>
    </row>
    <row r="38" spans="1:4" ht="12.75">
      <c r="A38" s="13" t="s">
        <v>62</v>
      </c>
      <c r="B38" s="17" t="s">
        <v>39</v>
      </c>
      <c r="C38" s="73">
        <v>160.1</v>
      </c>
      <c r="D38" s="16" t="s">
        <v>53</v>
      </c>
    </row>
    <row r="39" spans="1:4" ht="12.75">
      <c r="A39" s="13" t="s">
        <v>63</v>
      </c>
      <c r="B39" s="17" t="s">
        <v>39</v>
      </c>
      <c r="C39" s="15"/>
      <c r="D39" s="16" t="s">
        <v>233</v>
      </c>
    </row>
    <row r="40" spans="1:4" ht="12.75">
      <c r="A40" s="13" t="s">
        <v>64</v>
      </c>
      <c r="B40" s="17" t="s">
        <v>39</v>
      </c>
      <c r="C40" s="15"/>
      <c r="D40" s="16" t="s">
        <v>233</v>
      </c>
    </row>
    <row r="41" spans="1:4" ht="12.75">
      <c r="A41" s="13" t="s">
        <v>65</v>
      </c>
      <c r="B41" s="17" t="s">
        <v>39</v>
      </c>
      <c r="C41" s="152"/>
      <c r="D41" s="16" t="s">
        <v>233</v>
      </c>
    </row>
    <row r="42" spans="1:4" ht="12.75">
      <c r="A42" s="13" t="s">
        <v>66</v>
      </c>
      <c r="B42" s="17" t="s">
        <v>67</v>
      </c>
      <c r="C42" s="152"/>
      <c r="D42" s="16" t="s">
        <v>233</v>
      </c>
    </row>
    <row r="43" spans="1:4" ht="12.75">
      <c r="A43" s="13" t="s">
        <v>68</v>
      </c>
      <c r="B43" s="17" t="s">
        <v>67</v>
      </c>
      <c r="C43" s="152"/>
      <c r="D43" s="16" t="s">
        <v>233</v>
      </c>
    </row>
    <row r="44" spans="1:4" ht="12.75">
      <c r="A44" s="13" t="s">
        <v>70</v>
      </c>
      <c r="B44" s="17" t="s">
        <v>39</v>
      </c>
      <c r="C44" s="15"/>
      <c r="D44" s="16" t="s">
        <v>233</v>
      </c>
    </row>
    <row r="45" spans="1:4" ht="12.75">
      <c r="A45" s="13" t="s">
        <v>72</v>
      </c>
      <c r="B45" s="17" t="s">
        <v>39</v>
      </c>
      <c r="C45" s="15"/>
      <c r="D45" s="16" t="s">
        <v>233</v>
      </c>
    </row>
    <row r="46" spans="1:4" ht="12.75">
      <c r="A46" s="13" t="s">
        <v>73</v>
      </c>
      <c r="B46" s="17" t="s">
        <v>67</v>
      </c>
      <c r="C46" s="15"/>
      <c r="D46" s="16" t="s">
        <v>233</v>
      </c>
    </row>
    <row r="47" spans="1:4" ht="12.75">
      <c r="A47" s="13" t="s">
        <v>74</v>
      </c>
      <c r="B47" s="17" t="s">
        <v>39</v>
      </c>
      <c r="C47" s="15">
        <v>597</v>
      </c>
      <c r="D47" s="16" t="s">
        <v>60</v>
      </c>
    </row>
    <row r="48" spans="1:4" ht="12.75" customHeight="1">
      <c r="A48" s="18" t="s">
        <v>75</v>
      </c>
      <c r="B48" s="18"/>
      <c r="C48" s="18"/>
      <c r="D48" s="19"/>
    </row>
    <row r="49" spans="1:4" ht="12.75" customHeight="1">
      <c r="A49" s="20" t="s">
        <v>76</v>
      </c>
      <c r="B49" s="20"/>
      <c r="C49" s="20"/>
      <c r="D49" s="21"/>
    </row>
    <row r="50" spans="1:4" ht="12.75" customHeight="1">
      <c r="A50" s="22" t="s">
        <v>77</v>
      </c>
      <c r="B50" s="22"/>
      <c r="C50" s="22"/>
      <c r="D50" s="23"/>
    </row>
    <row r="51" spans="1:4" ht="25.5" customHeight="1">
      <c r="A51" s="13" t="s">
        <v>78</v>
      </c>
      <c r="B51" s="24" t="s">
        <v>79</v>
      </c>
      <c r="C51" s="24"/>
      <c r="D51" s="13" t="s">
        <v>80</v>
      </c>
    </row>
    <row r="52" spans="1:4" ht="25.5" customHeight="1">
      <c r="A52" s="13" t="s">
        <v>81</v>
      </c>
      <c r="B52" s="24" t="s">
        <v>79</v>
      </c>
      <c r="C52" s="24"/>
      <c r="D52" s="13" t="s">
        <v>80</v>
      </c>
    </row>
    <row r="53" spans="1:4" ht="25.5" customHeight="1">
      <c r="A53" s="13" t="s">
        <v>82</v>
      </c>
      <c r="B53" s="24" t="s">
        <v>79</v>
      </c>
      <c r="C53" s="24"/>
      <c r="D53" s="13" t="s">
        <v>83</v>
      </c>
    </row>
    <row r="54" spans="1:4" ht="25.5" customHeight="1">
      <c r="A54" s="13" t="s">
        <v>84</v>
      </c>
      <c r="B54" s="24" t="s">
        <v>79</v>
      </c>
      <c r="C54" s="24"/>
      <c r="D54" s="13" t="s">
        <v>83</v>
      </c>
    </row>
    <row r="55" spans="1:4" ht="25.5" customHeight="1">
      <c r="A55" s="13" t="s">
        <v>85</v>
      </c>
      <c r="B55" s="24" t="s">
        <v>79</v>
      </c>
      <c r="C55" s="24"/>
      <c r="D55" s="13" t="s">
        <v>86</v>
      </c>
    </row>
    <row r="56" spans="1:4" ht="26.25" customHeight="1">
      <c r="A56" s="13" t="s">
        <v>87</v>
      </c>
      <c r="B56" s="24" t="s">
        <v>79</v>
      </c>
      <c r="C56" s="24"/>
      <c r="D56" s="13" t="s">
        <v>88</v>
      </c>
    </row>
    <row r="57" spans="1:4" ht="25.5" customHeight="1">
      <c r="A57" s="13" t="s">
        <v>89</v>
      </c>
      <c r="B57" s="24" t="s">
        <v>79</v>
      </c>
      <c r="C57" s="24"/>
      <c r="D57" s="13" t="s">
        <v>40</v>
      </c>
    </row>
    <row r="58" spans="1:4" ht="25.5" customHeight="1">
      <c r="A58" s="13" t="s">
        <v>90</v>
      </c>
      <c r="B58" s="24" t="s">
        <v>79</v>
      </c>
      <c r="C58" s="24"/>
      <c r="D58" s="13" t="s">
        <v>88</v>
      </c>
    </row>
    <row r="59" spans="1:4" ht="25.5" customHeight="1">
      <c r="A59" s="13" t="s">
        <v>91</v>
      </c>
      <c r="B59" s="24" t="s">
        <v>79</v>
      </c>
      <c r="C59" s="24"/>
      <c r="D59" s="13" t="s">
        <v>92</v>
      </c>
    </row>
    <row r="60" spans="1:4" ht="26.25" customHeight="1">
      <c r="A60" s="13" t="s">
        <v>93</v>
      </c>
      <c r="B60" s="24" t="s">
        <v>79</v>
      </c>
      <c r="C60" s="24"/>
      <c r="D60" s="86" t="s">
        <v>94</v>
      </c>
    </row>
    <row r="61" spans="1:4" ht="12.75" customHeight="1">
      <c r="A61" s="28" t="s">
        <v>95</v>
      </c>
      <c r="B61" s="28"/>
      <c r="C61" s="29"/>
      <c r="D61" s="30"/>
    </row>
    <row r="62" spans="1:4" ht="27.75" customHeight="1">
      <c r="A62" s="13" t="s">
        <v>96</v>
      </c>
      <c r="B62" s="24" t="s">
        <v>79</v>
      </c>
      <c r="C62" s="24"/>
      <c r="D62" s="13" t="s">
        <v>88</v>
      </c>
    </row>
    <row r="63" spans="1:4" ht="25.5" customHeight="1">
      <c r="A63" s="13" t="s">
        <v>97</v>
      </c>
      <c r="B63" s="24" t="s">
        <v>79</v>
      </c>
      <c r="C63" s="24"/>
      <c r="D63" s="13" t="s">
        <v>98</v>
      </c>
    </row>
    <row r="64" spans="1:4" ht="25.5" customHeight="1">
      <c r="A64" s="13" t="s">
        <v>99</v>
      </c>
      <c r="B64" s="24" t="s">
        <v>79</v>
      </c>
      <c r="C64" s="24"/>
      <c r="D64" s="13" t="s">
        <v>100</v>
      </c>
    </row>
    <row r="65" spans="1:4" ht="27.75" customHeight="1">
      <c r="A65" s="13" t="s">
        <v>101</v>
      </c>
      <c r="B65" s="24" t="s">
        <v>79</v>
      </c>
      <c r="C65" s="24"/>
      <c r="D65" s="13" t="s">
        <v>88</v>
      </c>
    </row>
    <row r="66" spans="1:4" ht="26.25" customHeight="1">
      <c r="A66" s="13" t="s">
        <v>102</v>
      </c>
      <c r="B66" s="24" t="s">
        <v>79</v>
      </c>
      <c r="C66" s="24"/>
      <c r="D66" s="13" t="s">
        <v>60</v>
      </c>
    </row>
    <row r="67" spans="1:4" ht="30" customHeight="1">
      <c r="A67" s="13" t="s">
        <v>103</v>
      </c>
      <c r="B67" s="24" t="s">
        <v>79</v>
      </c>
      <c r="C67" s="24"/>
      <c r="D67" s="13" t="s">
        <v>104</v>
      </c>
    </row>
    <row r="68" spans="1:4" ht="25.5" customHeight="1">
      <c r="A68" s="13" t="s">
        <v>105</v>
      </c>
      <c r="B68" s="24" t="s">
        <v>79</v>
      </c>
      <c r="C68" s="24"/>
      <c r="D68" s="13" t="s">
        <v>106</v>
      </c>
    </row>
    <row r="69" spans="1:4" ht="25.5" customHeight="1">
      <c r="A69" s="13" t="s">
        <v>107</v>
      </c>
      <c r="B69" s="24" t="s">
        <v>79</v>
      </c>
      <c r="C69" s="24"/>
      <c r="D69" s="13" t="s">
        <v>108</v>
      </c>
    </row>
    <row r="70" spans="1:4" ht="24.75" customHeight="1">
      <c r="A70" s="13" t="s">
        <v>89</v>
      </c>
      <c r="B70" s="24" t="s">
        <v>79</v>
      </c>
      <c r="C70" s="24"/>
      <c r="D70" s="13" t="s">
        <v>40</v>
      </c>
    </row>
    <row r="71" spans="1:4" ht="25.5" customHeight="1">
      <c r="A71" s="13" t="s">
        <v>109</v>
      </c>
      <c r="B71" s="24" t="s">
        <v>79</v>
      </c>
      <c r="C71" s="24"/>
      <c r="D71" s="13" t="s">
        <v>108</v>
      </c>
    </row>
    <row r="72" spans="1:4" ht="12.75" customHeight="1">
      <c r="A72" s="28" t="s">
        <v>110</v>
      </c>
      <c r="B72" s="28"/>
      <c r="C72" s="31"/>
      <c r="D72" s="30"/>
    </row>
    <row r="73" spans="1:4" ht="27.75" customHeight="1">
      <c r="A73" s="13" t="s">
        <v>111</v>
      </c>
      <c r="B73" s="14" t="s">
        <v>112</v>
      </c>
      <c r="C73" s="15">
        <f>45*1.15*12</f>
        <v>620.9999999999999</v>
      </c>
      <c r="D73" s="32" t="s">
        <v>69</v>
      </c>
    </row>
    <row r="74" spans="1:4" ht="12.75">
      <c r="A74" s="13" t="s">
        <v>113</v>
      </c>
      <c r="B74" s="33" t="s">
        <v>112</v>
      </c>
      <c r="C74" s="15">
        <f>0.75*2*2*51</f>
        <v>153</v>
      </c>
      <c r="D74" s="32" t="s">
        <v>114</v>
      </c>
    </row>
    <row r="75" spans="1:4" ht="25.5">
      <c r="A75" s="13" t="s">
        <v>115</v>
      </c>
      <c r="B75" s="14" t="s">
        <v>67</v>
      </c>
      <c r="C75" s="15">
        <v>5</v>
      </c>
      <c r="D75" s="32" t="s">
        <v>116</v>
      </c>
    </row>
    <row r="76" spans="1:4" ht="12.75" customHeight="1">
      <c r="A76" s="28" t="s">
        <v>117</v>
      </c>
      <c r="B76" s="28"/>
      <c r="C76" s="29"/>
      <c r="D76" s="30"/>
    </row>
    <row r="77" spans="1:4" ht="12.75">
      <c r="A77" s="35" t="s">
        <v>118</v>
      </c>
      <c r="B77" s="36"/>
      <c r="C77" s="37"/>
      <c r="D77" s="38"/>
    </row>
    <row r="78" spans="1:4" ht="12.75">
      <c r="A78" s="39" t="s">
        <v>393</v>
      </c>
      <c r="B78" s="40" t="s">
        <v>39</v>
      </c>
      <c r="C78" s="150">
        <v>3</v>
      </c>
      <c r="D78" s="42"/>
    </row>
    <row r="79" spans="1:4" ht="12.75">
      <c r="A79" s="39" t="s">
        <v>456</v>
      </c>
      <c r="B79" s="40" t="s">
        <v>67</v>
      </c>
      <c r="C79" s="150">
        <v>6</v>
      </c>
      <c r="D79" s="42"/>
    </row>
    <row r="80" spans="1:4" ht="12.75">
      <c r="A80" s="153" t="s">
        <v>235</v>
      </c>
      <c r="B80" s="154"/>
      <c r="C80" s="154"/>
      <c r="D80" s="155"/>
    </row>
    <row r="81" spans="1:4" ht="12.75">
      <c r="A81" s="39" t="s">
        <v>252</v>
      </c>
      <c r="B81" s="40" t="s">
        <v>39</v>
      </c>
      <c r="C81" s="151">
        <v>20</v>
      </c>
      <c r="D81" s="42"/>
    </row>
    <row r="82" spans="1:4" ht="12.75">
      <c r="A82" s="88" t="s">
        <v>386</v>
      </c>
      <c r="B82" s="40" t="s">
        <v>39</v>
      </c>
      <c r="C82" s="150">
        <f>0.3+0.5</f>
        <v>0.8</v>
      </c>
      <c r="D82" s="42"/>
    </row>
    <row r="83" spans="1:4" ht="12.75">
      <c r="A83" s="88" t="s">
        <v>325</v>
      </c>
      <c r="B83" s="40" t="s">
        <v>67</v>
      </c>
      <c r="C83" s="150">
        <v>1</v>
      </c>
      <c r="D83" s="42"/>
    </row>
    <row r="84" spans="1:4" ht="12.75">
      <c r="A84" s="88" t="s">
        <v>415</v>
      </c>
      <c r="B84" s="40" t="s">
        <v>67</v>
      </c>
      <c r="C84" s="150">
        <f>1</f>
        <v>1</v>
      </c>
      <c r="D84" s="42"/>
    </row>
    <row r="85" spans="1:4" ht="12.75">
      <c r="A85" s="35" t="s">
        <v>126</v>
      </c>
      <c r="B85" s="36"/>
      <c r="C85" s="36"/>
      <c r="D85" s="45"/>
    </row>
    <row r="86" spans="1:4" ht="12.75">
      <c r="A86" s="43" t="s">
        <v>128</v>
      </c>
      <c r="B86" s="46" t="s">
        <v>67</v>
      </c>
      <c r="C86" s="41">
        <f>1+1</f>
        <v>2</v>
      </c>
      <c r="D86" s="42"/>
    </row>
    <row r="87" spans="1:4" ht="12.75">
      <c r="A87" s="43" t="s">
        <v>129</v>
      </c>
      <c r="B87" s="40" t="s">
        <v>67</v>
      </c>
      <c r="C87" s="41">
        <f>6+1</f>
        <v>7</v>
      </c>
      <c r="D87" s="42"/>
    </row>
    <row r="88" spans="1:4" ht="12.75">
      <c r="A88" s="43" t="s">
        <v>254</v>
      </c>
      <c r="B88" s="40" t="s">
        <v>67</v>
      </c>
      <c r="C88" s="41">
        <f>1</f>
        <v>1</v>
      </c>
      <c r="D88" s="42"/>
    </row>
    <row r="89" spans="1:4" ht="12.75">
      <c r="A89" s="43" t="s">
        <v>134</v>
      </c>
      <c r="B89" s="40" t="s">
        <v>39</v>
      </c>
      <c r="C89" s="150">
        <v>1.2</v>
      </c>
      <c r="D89" s="42"/>
    </row>
    <row r="90" spans="1:4" ht="12.75">
      <c r="A90" s="43" t="s">
        <v>370</v>
      </c>
      <c r="B90" s="40" t="s">
        <v>67</v>
      </c>
      <c r="C90" s="150">
        <v>2</v>
      </c>
      <c r="D90" s="42"/>
    </row>
    <row r="91" spans="1:4" ht="12.75">
      <c r="A91" s="88" t="s">
        <v>267</v>
      </c>
      <c r="B91" s="40" t="s">
        <v>122</v>
      </c>
      <c r="C91" s="150">
        <f>1+1</f>
        <v>2</v>
      </c>
      <c r="D91" s="42"/>
    </row>
    <row r="92" spans="1:4" ht="12.75">
      <c r="A92" s="88" t="s">
        <v>457</v>
      </c>
      <c r="B92" s="40" t="s">
        <v>39</v>
      </c>
      <c r="C92" s="150">
        <v>3</v>
      </c>
      <c r="D92" s="42"/>
    </row>
    <row r="93" spans="1:4" ht="12.75">
      <c r="A93" s="35" t="s">
        <v>238</v>
      </c>
      <c r="B93" s="36"/>
      <c r="C93" s="36"/>
      <c r="D93" s="45"/>
    </row>
    <row r="94" spans="1:4" ht="12.75">
      <c r="A94" s="43" t="s">
        <v>395</v>
      </c>
      <c r="B94" s="40" t="s">
        <v>39</v>
      </c>
      <c r="C94" s="150">
        <f>7</f>
        <v>7</v>
      </c>
      <c r="D94" s="42"/>
    </row>
    <row r="95" spans="1:4" ht="12.75">
      <c r="A95" s="35" t="s">
        <v>213</v>
      </c>
      <c r="B95" s="36"/>
      <c r="C95" s="154"/>
      <c r="D95" s="45"/>
    </row>
    <row r="96" spans="1:4" ht="12.75">
      <c r="A96" s="80" t="s">
        <v>241</v>
      </c>
      <c r="B96" s="41" t="s">
        <v>67</v>
      </c>
      <c r="C96" s="150">
        <f>1+1+1+2</f>
        <v>5</v>
      </c>
      <c r="D96" s="42"/>
    </row>
    <row r="97" spans="1:4" ht="12.75">
      <c r="A97" s="80" t="s">
        <v>396</v>
      </c>
      <c r="B97" s="41" t="s">
        <v>67</v>
      </c>
      <c r="C97" s="150">
        <f>1+1+1+1</f>
        <v>4</v>
      </c>
      <c r="D97" s="42"/>
    </row>
    <row r="98" spans="1:4" ht="12.75">
      <c r="A98" s="49" t="s">
        <v>141</v>
      </c>
      <c r="B98" s="36"/>
      <c r="C98" s="156"/>
      <c r="D98" s="45"/>
    </row>
    <row r="99" spans="1:4" ht="12.75">
      <c r="A99" s="51" t="s">
        <v>458</v>
      </c>
      <c r="B99" s="41" t="s">
        <v>67</v>
      </c>
      <c r="C99" s="150">
        <f>1</f>
        <v>1</v>
      </c>
      <c r="D99" s="42"/>
    </row>
    <row r="100" spans="1:4" ht="12.75">
      <c r="A100" s="51" t="s">
        <v>142</v>
      </c>
      <c r="B100" s="41" t="s">
        <v>67</v>
      </c>
      <c r="C100" s="150">
        <f>1</f>
        <v>1</v>
      </c>
      <c r="D100" s="42"/>
    </row>
    <row r="101" spans="1:4" ht="12.75">
      <c r="A101" s="51" t="s">
        <v>399</v>
      </c>
      <c r="B101" s="41" t="s">
        <v>39</v>
      </c>
      <c r="C101" s="150">
        <v>4</v>
      </c>
      <c r="D101" s="42"/>
    </row>
    <row r="102" spans="1:4" ht="12.75">
      <c r="A102" s="49" t="s">
        <v>145</v>
      </c>
      <c r="B102" s="36"/>
      <c r="C102" s="36"/>
      <c r="D102" s="45"/>
    </row>
    <row r="103" spans="1:4" s="1" customFormat="1" ht="12.75">
      <c r="A103" s="80" t="s">
        <v>151</v>
      </c>
      <c r="B103" s="41" t="s">
        <v>39</v>
      </c>
      <c r="C103" s="41">
        <v>397</v>
      </c>
      <c r="D103" s="68" t="s">
        <v>130</v>
      </c>
    </row>
    <row r="104" spans="1:4" ht="12.75">
      <c r="A104" s="52" t="s">
        <v>197</v>
      </c>
      <c r="B104" s="41" t="s">
        <v>67</v>
      </c>
      <c r="C104" s="40">
        <v>2</v>
      </c>
      <c r="D104" s="42"/>
    </row>
    <row r="105" spans="1:4" ht="12.75">
      <c r="A105" s="52" t="s">
        <v>199</v>
      </c>
      <c r="B105" s="41" t="s">
        <v>67</v>
      </c>
      <c r="C105" s="40">
        <f>1</f>
        <v>1</v>
      </c>
      <c r="D105" s="42"/>
    </row>
    <row r="106" spans="1:4" ht="12.75">
      <c r="A106" s="49" t="s">
        <v>157</v>
      </c>
      <c r="B106" s="36"/>
      <c r="C106" s="36"/>
      <c r="D106" s="45"/>
    </row>
    <row r="107" spans="1:4" s="1" customFormat="1" ht="12.75">
      <c r="A107" s="51" t="s">
        <v>400</v>
      </c>
      <c r="B107" s="40" t="s">
        <v>39</v>
      </c>
      <c r="C107" s="40">
        <v>276</v>
      </c>
      <c r="D107" s="47" t="s">
        <v>130</v>
      </c>
    </row>
    <row r="108" spans="1:8" ht="12.75">
      <c r="A108" s="49" t="s">
        <v>161</v>
      </c>
      <c r="B108" s="36"/>
      <c r="C108" s="116"/>
      <c r="D108" s="45"/>
      <c r="E108" s="97"/>
      <c r="F108" s="97"/>
      <c r="G108" s="97"/>
      <c r="H108" s="97"/>
    </row>
    <row r="109" spans="1:4" ht="12.75">
      <c r="A109" s="54" t="s">
        <v>162</v>
      </c>
      <c r="B109" s="58" t="s">
        <v>401</v>
      </c>
      <c r="C109" s="56">
        <v>1</v>
      </c>
      <c r="D109" s="68" t="s">
        <v>44</v>
      </c>
    </row>
    <row r="110" spans="1:4" ht="12.75">
      <c r="A110" s="54" t="s">
        <v>163</v>
      </c>
      <c r="B110" s="58" t="s">
        <v>401</v>
      </c>
      <c r="C110" s="56">
        <v>1</v>
      </c>
      <c r="D110" s="89" t="s">
        <v>164</v>
      </c>
    </row>
    <row r="111" spans="1:4" ht="12.75">
      <c r="A111" s="49" t="s">
        <v>165</v>
      </c>
      <c r="B111" s="144"/>
      <c r="C111" s="36"/>
      <c r="D111" s="45"/>
    </row>
    <row r="112" spans="1:4" ht="12.75">
      <c r="A112" s="54" t="s">
        <v>162</v>
      </c>
      <c r="B112" s="58" t="s">
        <v>401</v>
      </c>
      <c r="C112" s="56">
        <v>1</v>
      </c>
      <c r="D112" s="68" t="s">
        <v>44</v>
      </c>
    </row>
    <row r="113" spans="1:4" ht="12.75">
      <c r="A113" s="54" t="s">
        <v>163</v>
      </c>
      <c r="B113" s="58" t="s">
        <v>401</v>
      </c>
      <c r="C113" s="56">
        <v>1</v>
      </c>
      <c r="D113" s="89" t="s">
        <v>164</v>
      </c>
    </row>
    <row r="114" spans="1:4" ht="12.75">
      <c r="A114" s="49" t="s">
        <v>166</v>
      </c>
      <c r="B114" s="144"/>
      <c r="C114" s="36"/>
      <c r="D114" s="45"/>
    </row>
    <row r="115" spans="1:4" ht="12.75">
      <c r="A115" s="54" t="s">
        <v>162</v>
      </c>
      <c r="B115" s="56" t="s">
        <v>39</v>
      </c>
      <c r="C115" s="56">
        <f>71.2+88.9</f>
        <v>160.10000000000002</v>
      </c>
      <c r="D115" s="47" t="s">
        <v>175</v>
      </c>
    </row>
    <row r="116" spans="1:4" ht="12.75">
      <c r="A116" s="54" t="s">
        <v>163</v>
      </c>
      <c r="B116" s="56" t="s">
        <v>39</v>
      </c>
      <c r="C116" s="56">
        <f>71.2+88.9</f>
        <v>160.10000000000002</v>
      </c>
      <c r="D116" s="89" t="s">
        <v>164</v>
      </c>
    </row>
    <row r="119" ht="12.75">
      <c r="A119" s="90"/>
    </row>
    <row r="120" ht="12.75">
      <c r="A12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4:C24"/>
    <mergeCell ref="A48:C48"/>
    <mergeCell ref="A49:C49"/>
    <mergeCell ref="A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B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72:B72"/>
    <mergeCell ref="A76:B76"/>
  </mergeCells>
  <printOptions/>
  <pageMargins left="0.5513888888888889" right="0.3541666666666667" top="0.7875" bottom="0.5902777777777778" header="0.5118055555555555" footer="0.5118055555555555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4"/>
  </sheetPr>
  <dimension ref="A1:G159"/>
  <sheetViews>
    <sheetView workbookViewId="0" topLeftCell="A124">
      <selection activeCell="A150" sqref="A150"/>
    </sheetView>
  </sheetViews>
  <sheetFormatPr defaultColWidth="9.00390625" defaultRowHeight="12.75"/>
  <cols>
    <col min="1" max="1" width="39.625" style="1" customWidth="1"/>
    <col min="2" max="2" width="12.25390625" style="1" customWidth="1"/>
    <col min="3" max="3" width="13.375" style="1" customWidth="1"/>
    <col min="4" max="4" width="20.25390625" style="0" customWidth="1"/>
    <col min="6" max="6" width="10.87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459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460</v>
      </c>
    </row>
    <row r="8" spans="1:3" ht="12.75">
      <c r="A8" s="1" t="s">
        <v>7</v>
      </c>
      <c r="C8" s="4" t="s">
        <v>461</v>
      </c>
    </row>
    <row r="9" spans="1:3" ht="12.75">
      <c r="A9" s="1" t="s">
        <v>9</v>
      </c>
      <c r="C9" s="7"/>
    </row>
    <row r="10" ht="12.75">
      <c r="C10" s="7"/>
    </row>
    <row r="11" spans="1:3" ht="12.75">
      <c r="A11" s="1" t="s">
        <v>11</v>
      </c>
      <c r="C11" s="7" t="s">
        <v>462</v>
      </c>
    </row>
    <row r="12" spans="1:3" ht="12.75">
      <c r="A12" s="1" t="s">
        <v>13</v>
      </c>
      <c r="C12" s="83"/>
    </row>
    <row r="13" spans="1:3" ht="12.75">
      <c r="A13" s="1" t="s">
        <v>14</v>
      </c>
      <c r="C13" s="83"/>
    </row>
    <row r="14" spans="1:3" ht="12.75">
      <c r="A14" s="1" t="s">
        <v>15</v>
      </c>
      <c r="B14" s="1" t="s">
        <v>16</v>
      </c>
      <c r="C14" s="83"/>
    </row>
    <row r="15" spans="1:3" ht="12.75">
      <c r="A15" s="1" t="s">
        <v>17</v>
      </c>
      <c r="B15" s="1" t="s">
        <v>18</v>
      </c>
      <c r="C15" s="83"/>
    </row>
    <row r="16" spans="1:3" ht="12.75">
      <c r="A16" s="1" t="s">
        <v>19</v>
      </c>
      <c r="B16" s="1" t="s">
        <v>20</v>
      </c>
      <c r="C16" s="83"/>
    </row>
    <row r="17" spans="1:3" ht="12.75">
      <c r="A17" s="1" t="s">
        <v>21</v>
      </c>
      <c r="B17" s="1" t="s">
        <v>22</v>
      </c>
      <c r="C17" s="83"/>
    </row>
    <row r="18" spans="1:3" ht="12.75">
      <c r="A18" s="157" t="s">
        <v>23</v>
      </c>
      <c r="B18" s="1" t="s">
        <v>24</v>
      </c>
      <c r="C18" s="83"/>
    </row>
    <row r="19" spans="1:3" ht="12.75">
      <c r="A19" s="1" t="s">
        <v>25</v>
      </c>
      <c r="B19" s="1" t="s">
        <v>26</v>
      </c>
      <c r="C19" s="83"/>
    </row>
    <row r="20" spans="1:3" ht="12.75">
      <c r="A20" s="1" t="s">
        <v>27</v>
      </c>
      <c r="B20" s="1" t="s">
        <v>28</v>
      </c>
      <c r="C20" s="83"/>
    </row>
    <row r="21" spans="1:3" ht="12.75">
      <c r="A21" s="1" t="s">
        <v>29</v>
      </c>
      <c r="C21" s="83"/>
    </row>
    <row r="22" spans="1:3" ht="12.75">
      <c r="A22" s="1" t="s">
        <v>30</v>
      </c>
      <c r="B22" s="1" t="s">
        <v>31</v>
      </c>
      <c r="C22" s="83"/>
    </row>
    <row r="23" spans="1:3" ht="12.75">
      <c r="A23" t="s">
        <v>32</v>
      </c>
      <c r="B23"/>
      <c r="C23" s="71">
        <v>0.8783</v>
      </c>
    </row>
    <row r="24" spans="1:3" ht="12.75">
      <c r="A24" s="158"/>
      <c r="B24"/>
      <c r="C24" s="7"/>
    </row>
    <row r="25" spans="1:3" ht="12.75" customHeight="1">
      <c r="A25" s="10" t="s">
        <v>33</v>
      </c>
      <c r="B25" s="10"/>
      <c r="C25" s="10"/>
    </row>
    <row r="26" ht="12.75"/>
    <row r="27" spans="1:4" ht="38.25">
      <c r="A27" s="11" t="s">
        <v>34</v>
      </c>
      <c r="B27" s="11" t="s">
        <v>35</v>
      </c>
      <c r="C27" s="11" t="s">
        <v>36</v>
      </c>
      <c r="D27" s="12" t="s">
        <v>37</v>
      </c>
    </row>
    <row r="28" spans="1:4" ht="38.25">
      <c r="A28" s="13" t="s">
        <v>38</v>
      </c>
      <c r="B28" s="14" t="s">
        <v>39</v>
      </c>
      <c r="C28" s="15">
        <v>1043</v>
      </c>
      <c r="D28" s="16" t="s">
        <v>40</v>
      </c>
    </row>
    <row r="29" spans="1:4" ht="12.75">
      <c r="A29" s="13" t="s">
        <v>41</v>
      </c>
      <c r="B29" s="14" t="s">
        <v>39</v>
      </c>
      <c r="C29" s="15">
        <v>1043</v>
      </c>
      <c r="D29" s="16" t="s">
        <v>42</v>
      </c>
    </row>
    <row r="30" spans="1:4" ht="63.75">
      <c r="A30" s="13" t="s">
        <v>43</v>
      </c>
      <c r="B30" s="14" t="s">
        <v>39</v>
      </c>
      <c r="C30" s="15">
        <v>1298</v>
      </c>
      <c r="D30" s="16" t="s">
        <v>44</v>
      </c>
    </row>
    <row r="31" spans="1:4" ht="12.75">
      <c r="A31" s="13" t="s">
        <v>45</v>
      </c>
      <c r="B31" s="14" t="s">
        <v>39</v>
      </c>
      <c r="C31" s="15">
        <v>146</v>
      </c>
      <c r="D31" s="16" t="s">
        <v>46</v>
      </c>
    </row>
    <row r="32" spans="1:4" ht="25.5">
      <c r="A32" s="13" t="s">
        <v>47</v>
      </c>
      <c r="B32" s="17" t="s">
        <v>39</v>
      </c>
      <c r="C32" s="15">
        <v>438</v>
      </c>
      <c r="D32" s="16" t="s">
        <v>48</v>
      </c>
    </row>
    <row r="33" spans="1:4" ht="25.5">
      <c r="A33" s="13" t="s">
        <v>49</v>
      </c>
      <c r="B33" s="17" t="s">
        <v>50</v>
      </c>
      <c r="C33" s="15">
        <v>1043</v>
      </c>
      <c r="D33" s="16" t="s">
        <v>51</v>
      </c>
    </row>
    <row r="34" spans="1:4" ht="25.5">
      <c r="A34" s="13" t="s">
        <v>52</v>
      </c>
      <c r="B34" s="17" t="s">
        <v>39</v>
      </c>
      <c r="C34" s="15">
        <v>313</v>
      </c>
      <c r="D34" s="16" t="s">
        <v>53</v>
      </c>
    </row>
    <row r="35" spans="1:4" ht="12.75">
      <c r="A35" s="13" t="s">
        <v>54</v>
      </c>
      <c r="B35" s="17" t="s">
        <v>39</v>
      </c>
      <c r="C35" s="15">
        <v>5</v>
      </c>
      <c r="D35" s="16" t="s">
        <v>55</v>
      </c>
    </row>
    <row r="36" spans="1:4" ht="12.75" customHeight="1">
      <c r="A36" s="13" t="s">
        <v>56</v>
      </c>
      <c r="B36" s="17" t="s">
        <v>39</v>
      </c>
      <c r="C36" s="15">
        <v>5</v>
      </c>
      <c r="D36" s="16" t="s">
        <v>57</v>
      </c>
    </row>
    <row r="37" spans="1:4" ht="25.5">
      <c r="A37" s="13"/>
      <c r="B37" s="17" t="s">
        <v>39</v>
      </c>
      <c r="C37" s="15">
        <v>5</v>
      </c>
      <c r="D37" s="16" t="s">
        <v>58</v>
      </c>
    </row>
    <row r="38" spans="1:4" ht="25.5">
      <c r="A38" s="13" t="s">
        <v>59</v>
      </c>
      <c r="B38" s="17" t="s">
        <v>39</v>
      </c>
      <c r="C38" s="15">
        <v>45</v>
      </c>
      <c r="D38" s="16" t="s">
        <v>60</v>
      </c>
    </row>
    <row r="39" spans="1:4" ht="12.75">
      <c r="A39" s="13" t="s">
        <v>61</v>
      </c>
      <c r="B39" s="17" t="s">
        <v>39</v>
      </c>
      <c r="C39" s="15">
        <v>1563.7</v>
      </c>
      <c r="D39" s="16" t="s">
        <v>46</v>
      </c>
    </row>
    <row r="40" spans="1:4" ht="25.5">
      <c r="A40" s="13" t="s">
        <v>62</v>
      </c>
      <c r="B40" s="17" t="s">
        <v>39</v>
      </c>
      <c r="C40" s="15">
        <v>1043</v>
      </c>
      <c r="D40" s="16" t="s">
        <v>53</v>
      </c>
    </row>
    <row r="41" spans="1:4" ht="12.75">
      <c r="A41" s="13" t="s">
        <v>63</v>
      </c>
      <c r="B41" s="17" t="s">
        <v>39</v>
      </c>
      <c r="C41" s="15">
        <v>5</v>
      </c>
      <c r="D41" s="16" t="s">
        <v>44</v>
      </c>
    </row>
    <row r="42" spans="1:4" ht="12.75">
      <c r="A42" s="13" t="s">
        <v>64</v>
      </c>
      <c r="B42" s="17" t="s">
        <v>39</v>
      </c>
      <c r="C42" s="15">
        <v>201</v>
      </c>
      <c r="D42" s="16" t="s">
        <v>44</v>
      </c>
    </row>
    <row r="43" spans="1:4" ht="25.5">
      <c r="A43" s="13" t="s">
        <v>65</v>
      </c>
      <c r="B43" s="17" t="s">
        <v>39</v>
      </c>
      <c r="C43" s="15">
        <v>95</v>
      </c>
      <c r="D43" s="16" t="s">
        <v>53</v>
      </c>
    </row>
    <row r="44" spans="1:4" ht="12.75">
      <c r="A44" s="13" t="s">
        <v>66</v>
      </c>
      <c r="B44" s="17" t="s">
        <v>67</v>
      </c>
      <c r="C44" s="15">
        <v>5</v>
      </c>
      <c r="D44" s="16" t="s">
        <v>60</v>
      </c>
    </row>
    <row r="45" spans="1:4" ht="25.5">
      <c r="A45" s="13" t="s">
        <v>68</v>
      </c>
      <c r="B45" s="17" t="s">
        <v>67</v>
      </c>
      <c r="C45" s="15">
        <v>5</v>
      </c>
      <c r="D45" s="16" t="s">
        <v>69</v>
      </c>
    </row>
    <row r="46" spans="1:4" ht="12.75">
      <c r="A46" s="13" t="s">
        <v>70</v>
      </c>
      <c r="B46" s="17" t="s">
        <v>39</v>
      </c>
      <c r="C46" s="15">
        <v>25</v>
      </c>
      <c r="D46" s="16" t="s">
        <v>71</v>
      </c>
    </row>
    <row r="47" spans="1:4" ht="25.5">
      <c r="A47" s="13" t="s">
        <v>72</v>
      </c>
      <c r="B47" s="17" t="s">
        <v>39</v>
      </c>
      <c r="C47" s="15">
        <f>1*1.88*8*5</f>
        <v>75.19999999999999</v>
      </c>
      <c r="D47" s="16" t="s">
        <v>53</v>
      </c>
    </row>
    <row r="48" spans="1:4" ht="25.5">
      <c r="A48" s="13" t="s">
        <v>73</v>
      </c>
      <c r="B48" s="17" t="s">
        <v>67</v>
      </c>
      <c r="C48" s="15">
        <v>5</v>
      </c>
      <c r="D48" s="16" t="s">
        <v>44</v>
      </c>
    </row>
    <row r="49" spans="1:4" ht="12.75">
      <c r="A49" s="13" t="s">
        <v>74</v>
      </c>
      <c r="B49" s="17" t="s">
        <v>39</v>
      </c>
      <c r="C49" s="15">
        <v>1475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25.5" customHeight="1">
      <c r="A55" s="13" t="s">
        <v>82</v>
      </c>
      <c r="B55" s="24" t="s">
        <v>79</v>
      </c>
      <c r="C55" s="24"/>
      <c r="D55" s="13" t="s">
        <v>83</v>
      </c>
    </row>
    <row r="56" spans="1:4" ht="25.5" customHeight="1">
      <c r="A56" s="13" t="s">
        <v>84</v>
      </c>
      <c r="B56" s="24" t="s">
        <v>79</v>
      </c>
      <c r="C56" s="24"/>
      <c r="D56" s="13" t="s">
        <v>83</v>
      </c>
    </row>
    <row r="57" spans="1:4" ht="12.75" customHeight="1">
      <c r="A57" s="13" t="s">
        <v>85</v>
      </c>
      <c r="B57" s="24" t="s">
        <v>79</v>
      </c>
      <c r="C57" s="24"/>
      <c r="D57" s="13" t="s">
        <v>86</v>
      </c>
    </row>
    <row r="58" spans="1:4" ht="12.75" customHeight="1">
      <c r="A58" s="13" t="s">
        <v>87</v>
      </c>
      <c r="B58" s="24" t="s">
        <v>79</v>
      </c>
      <c r="C58" s="24"/>
      <c r="D58" s="13" t="s">
        <v>88</v>
      </c>
    </row>
    <row r="59" spans="1:4" ht="25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5.5" customHeight="1">
      <c r="A61" s="13" t="s">
        <v>91</v>
      </c>
      <c r="B61" s="24" t="s">
        <v>79</v>
      </c>
      <c r="C61" s="24"/>
      <c r="D61" s="13" t="s">
        <v>92</v>
      </c>
    </row>
    <row r="62" spans="1:4" ht="12.7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7.75" customHeight="1">
      <c r="A64" s="13" t="s">
        <v>96</v>
      </c>
      <c r="B64" s="24" t="s">
        <v>79</v>
      </c>
      <c r="C64" s="24"/>
      <c r="D64" s="13" t="s">
        <v>88</v>
      </c>
    </row>
    <row r="65" spans="1:4" ht="25.5" customHeight="1">
      <c r="A65" s="13" t="s">
        <v>97</v>
      </c>
      <c r="B65" s="24" t="s">
        <v>79</v>
      </c>
      <c r="C65" s="24"/>
      <c r="D65" s="13" t="s">
        <v>98</v>
      </c>
    </row>
    <row r="66" spans="1:4" ht="25.5" customHeight="1">
      <c r="A66" s="13" t="s">
        <v>99</v>
      </c>
      <c r="B66" s="24" t="s">
        <v>79</v>
      </c>
      <c r="C66" s="24"/>
      <c r="D66" s="13" t="s">
        <v>100</v>
      </c>
    </row>
    <row r="67" spans="1:4" ht="27.75" customHeight="1">
      <c r="A67" s="13" t="s">
        <v>101</v>
      </c>
      <c r="B67" s="24" t="s">
        <v>79</v>
      </c>
      <c r="C67" s="24"/>
      <c r="D67" s="13" t="s">
        <v>88</v>
      </c>
    </row>
    <row r="68" spans="1:4" ht="26.25" customHeight="1">
      <c r="A68" s="13" t="s">
        <v>102</v>
      </c>
      <c r="B68" s="24" t="s">
        <v>79</v>
      </c>
      <c r="C68" s="24"/>
      <c r="D68" s="13" t="s">
        <v>60</v>
      </c>
    </row>
    <row r="69" spans="1:4" ht="30" customHeight="1">
      <c r="A69" s="13" t="s">
        <v>103</v>
      </c>
      <c r="B69" s="24" t="s">
        <v>79</v>
      </c>
      <c r="C69" s="24"/>
      <c r="D69" s="13" t="s">
        <v>104</v>
      </c>
    </row>
    <row r="70" spans="1:4" ht="25.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.75" customHeight="1">
      <c r="A72" s="13" t="s">
        <v>89</v>
      </c>
      <c r="B72" s="24" t="s">
        <v>463</v>
      </c>
      <c r="C72" s="24"/>
      <c r="D72" s="13"/>
    </row>
    <row r="73" spans="1:4" ht="31.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4" ht="27.75" customHeight="1">
      <c r="A75" s="13" t="s">
        <v>111</v>
      </c>
      <c r="B75" s="14" t="s">
        <v>112</v>
      </c>
      <c r="C75" s="15">
        <f>515*1.15*12</f>
        <v>7107</v>
      </c>
      <c r="D75" s="74" t="s">
        <v>69</v>
      </c>
    </row>
    <row r="76" spans="1:4" ht="12.75">
      <c r="A76" s="13" t="s">
        <v>113</v>
      </c>
      <c r="B76" s="33" t="s">
        <v>112</v>
      </c>
      <c r="C76" s="15">
        <f>0.75*5*2*51</f>
        <v>382.5</v>
      </c>
      <c r="D76" s="74" t="s">
        <v>114</v>
      </c>
    </row>
    <row r="77" spans="1:7" ht="12.75">
      <c r="A77" s="13" t="s">
        <v>115</v>
      </c>
      <c r="B77" s="14" t="s">
        <v>67</v>
      </c>
      <c r="C77" s="15">
        <v>5</v>
      </c>
      <c r="D77" s="74" t="s">
        <v>116</v>
      </c>
      <c r="F77" s="159"/>
      <c r="G77" s="94"/>
    </row>
    <row r="78" spans="1:7" ht="12.75" customHeight="1">
      <c r="A78" s="75" t="s">
        <v>117</v>
      </c>
      <c r="B78" s="75"/>
      <c r="C78" s="34"/>
      <c r="D78" s="145"/>
      <c r="F78" s="94"/>
      <c r="G78" s="94"/>
    </row>
    <row r="79" spans="1:7" ht="12.75">
      <c r="A79" s="35" t="s">
        <v>118</v>
      </c>
      <c r="B79" s="36"/>
      <c r="C79" s="37"/>
      <c r="D79" s="37"/>
      <c r="F79" s="94"/>
      <c r="G79" s="94"/>
    </row>
    <row r="80" spans="1:7" ht="12.75">
      <c r="A80" s="39" t="s">
        <v>119</v>
      </c>
      <c r="B80" s="40" t="s">
        <v>39</v>
      </c>
      <c r="C80" s="41">
        <v>8.2</v>
      </c>
      <c r="D80" s="42"/>
      <c r="F80" s="94"/>
      <c r="G80" s="94"/>
    </row>
    <row r="81" spans="1:7" ht="12.75">
      <c r="A81" s="39" t="s">
        <v>464</v>
      </c>
      <c r="B81" s="40" t="s">
        <v>67</v>
      </c>
      <c r="C81" s="41">
        <v>3</v>
      </c>
      <c r="D81" s="42"/>
      <c r="F81" s="94"/>
      <c r="G81" s="94"/>
    </row>
    <row r="82" spans="1:7" ht="12.75">
      <c r="A82" s="35" t="s">
        <v>124</v>
      </c>
      <c r="B82" s="36"/>
      <c r="C82" s="36"/>
      <c r="D82" s="45"/>
      <c r="F82" s="94"/>
      <c r="G82" s="94"/>
    </row>
    <row r="83" spans="1:7" ht="25.5">
      <c r="A83" s="39" t="s">
        <v>465</v>
      </c>
      <c r="B83" s="40" t="s">
        <v>39</v>
      </c>
      <c r="C83" s="41">
        <v>3</v>
      </c>
      <c r="D83" s="42"/>
      <c r="F83" s="94"/>
      <c r="G83" s="94"/>
    </row>
    <row r="84" spans="1:7" ht="12.75">
      <c r="A84" s="43" t="s">
        <v>125</v>
      </c>
      <c r="B84" s="41" t="s">
        <v>122</v>
      </c>
      <c r="C84" s="41">
        <f>1</f>
        <v>1</v>
      </c>
      <c r="D84" s="42"/>
      <c r="F84" s="94"/>
      <c r="G84" s="94"/>
    </row>
    <row r="85" spans="1:7" ht="12.75">
      <c r="A85" s="43" t="s">
        <v>466</v>
      </c>
      <c r="B85" s="41" t="s">
        <v>122</v>
      </c>
      <c r="C85" s="41">
        <f>1</f>
        <v>1</v>
      </c>
      <c r="D85" s="42"/>
      <c r="F85" s="94"/>
      <c r="G85" s="94"/>
    </row>
    <row r="86" spans="1:7" ht="12.75">
      <c r="A86" s="35" t="s">
        <v>467</v>
      </c>
      <c r="B86" s="36"/>
      <c r="C86" s="36"/>
      <c r="D86" s="45"/>
      <c r="F86" s="94"/>
      <c r="G86" s="94"/>
    </row>
    <row r="87" spans="1:7" ht="25.5">
      <c r="A87" s="43" t="s">
        <v>127</v>
      </c>
      <c r="B87" s="46" t="s">
        <v>67</v>
      </c>
      <c r="C87" s="40">
        <f>6+3+1+1</f>
        <v>11</v>
      </c>
      <c r="D87" s="42"/>
      <c r="F87" s="94"/>
      <c r="G87" s="94"/>
    </row>
    <row r="88" spans="1:7" ht="12.75">
      <c r="A88" s="43" t="s">
        <v>128</v>
      </c>
      <c r="B88" s="46" t="s">
        <v>67</v>
      </c>
      <c r="C88" s="41">
        <f>1+1+2+1</f>
        <v>5</v>
      </c>
      <c r="D88" s="42"/>
      <c r="F88" s="94"/>
      <c r="G88" s="94"/>
    </row>
    <row r="89" spans="1:7" ht="12.75">
      <c r="A89" s="43" t="s">
        <v>468</v>
      </c>
      <c r="B89" s="40" t="s">
        <v>67</v>
      </c>
      <c r="C89" s="41">
        <f>1+1+8</f>
        <v>10</v>
      </c>
      <c r="D89" s="42"/>
      <c r="F89" s="94"/>
      <c r="G89" s="94"/>
    </row>
    <row r="90" spans="1:7" ht="12.75">
      <c r="A90" s="43" t="s">
        <v>131</v>
      </c>
      <c r="B90" s="40" t="s">
        <v>67</v>
      </c>
      <c r="C90" s="41">
        <f>1+1+3</f>
        <v>5</v>
      </c>
      <c r="D90" s="42"/>
      <c r="F90" s="94"/>
      <c r="G90" s="94"/>
    </row>
    <row r="91" spans="1:7" ht="12.75">
      <c r="A91" s="43" t="s">
        <v>416</v>
      </c>
      <c r="B91" s="40" t="s">
        <v>67</v>
      </c>
      <c r="C91" s="41">
        <v>1</v>
      </c>
      <c r="D91" s="42"/>
      <c r="F91" s="94"/>
      <c r="G91" s="94"/>
    </row>
    <row r="92" spans="1:7" ht="12.75">
      <c r="A92" s="43" t="s">
        <v>469</v>
      </c>
      <c r="B92" s="40" t="s">
        <v>67</v>
      </c>
      <c r="C92" s="41">
        <v>1</v>
      </c>
      <c r="D92" s="42"/>
      <c r="F92" s="94"/>
      <c r="G92" s="94"/>
    </row>
    <row r="93" spans="1:7" ht="12.75">
      <c r="A93" s="43" t="s">
        <v>397</v>
      </c>
      <c r="B93" s="40" t="s">
        <v>39</v>
      </c>
      <c r="C93" s="41">
        <v>0.5</v>
      </c>
      <c r="D93" s="42"/>
      <c r="F93" s="94"/>
      <c r="G93" s="94"/>
    </row>
    <row r="94" spans="1:7" ht="12.75">
      <c r="A94" s="43" t="s">
        <v>470</v>
      </c>
      <c r="B94" s="46" t="s">
        <v>67</v>
      </c>
      <c r="C94" s="41">
        <f>2</f>
        <v>2</v>
      </c>
      <c r="D94" s="42"/>
      <c r="F94" s="94"/>
      <c r="G94" s="94"/>
    </row>
    <row r="95" spans="1:7" ht="12.75">
      <c r="A95" s="43" t="s">
        <v>188</v>
      </c>
      <c r="B95" s="46" t="s">
        <v>67</v>
      </c>
      <c r="C95" s="41">
        <v>1</v>
      </c>
      <c r="D95" s="42"/>
      <c r="F95" s="94"/>
      <c r="G95" s="94"/>
    </row>
    <row r="96" spans="1:7" ht="12.75">
      <c r="A96" s="43" t="s">
        <v>189</v>
      </c>
      <c r="B96" s="40" t="s">
        <v>133</v>
      </c>
      <c r="C96" s="40">
        <f>9</f>
        <v>9</v>
      </c>
      <c r="D96" s="42"/>
      <c r="F96" s="94"/>
      <c r="G96" s="94"/>
    </row>
    <row r="97" spans="1:7" ht="12.75">
      <c r="A97" s="43" t="s">
        <v>190</v>
      </c>
      <c r="B97" s="40" t="s">
        <v>67</v>
      </c>
      <c r="C97" s="40">
        <f>1</f>
        <v>1</v>
      </c>
      <c r="D97" s="42"/>
      <c r="F97" s="94"/>
      <c r="G97" s="94"/>
    </row>
    <row r="98" spans="1:7" ht="12.75">
      <c r="A98" s="43" t="s">
        <v>471</v>
      </c>
      <c r="B98" s="40" t="s">
        <v>67</v>
      </c>
      <c r="C98" s="40">
        <v>1</v>
      </c>
      <c r="D98" s="42"/>
      <c r="F98" s="94"/>
      <c r="G98" s="94"/>
    </row>
    <row r="99" spans="1:7" ht="12.75">
      <c r="A99" s="43" t="s">
        <v>134</v>
      </c>
      <c r="B99" s="40" t="s">
        <v>39</v>
      </c>
      <c r="C99" s="41">
        <f>0.4+0.4+0.8+1.05+1.05+0.8+0.4+0.4+0.8+1.05+0.4+1+0.3</f>
        <v>8.850000000000001</v>
      </c>
      <c r="D99" s="42"/>
      <c r="F99" s="94"/>
      <c r="G99" s="94"/>
    </row>
    <row r="100" spans="1:7" ht="12.75">
      <c r="A100" s="43" t="s">
        <v>277</v>
      </c>
      <c r="B100" s="40" t="s">
        <v>67</v>
      </c>
      <c r="C100" s="41">
        <f>3+7</f>
        <v>10</v>
      </c>
      <c r="D100" s="42"/>
      <c r="F100" s="94"/>
      <c r="G100" s="94"/>
    </row>
    <row r="101" spans="1:7" ht="12.75">
      <c r="A101" s="43" t="s">
        <v>472</v>
      </c>
      <c r="B101" s="40" t="s">
        <v>67</v>
      </c>
      <c r="C101" s="41">
        <v>2</v>
      </c>
      <c r="D101" s="42"/>
      <c r="F101" s="94"/>
      <c r="G101" s="94"/>
    </row>
    <row r="102" spans="1:7" ht="12.75">
      <c r="A102" s="43" t="s">
        <v>473</v>
      </c>
      <c r="B102" s="40" t="s">
        <v>67</v>
      </c>
      <c r="C102" s="41">
        <v>1</v>
      </c>
      <c r="D102" s="42"/>
      <c r="F102" s="94"/>
      <c r="G102" s="94"/>
    </row>
    <row r="103" spans="1:7" ht="12.75">
      <c r="A103" s="43" t="s">
        <v>346</v>
      </c>
      <c r="B103" s="40" t="s">
        <v>122</v>
      </c>
      <c r="C103" s="40">
        <f>1+1+1</f>
        <v>3</v>
      </c>
      <c r="D103" s="42"/>
      <c r="F103" s="94"/>
      <c r="G103" s="94"/>
    </row>
    <row r="104" spans="1:7" ht="12.75">
      <c r="A104" s="43" t="s">
        <v>474</v>
      </c>
      <c r="B104" s="40" t="s">
        <v>39</v>
      </c>
      <c r="C104" s="40">
        <f>0.1+0.1+0.4</f>
        <v>0.6000000000000001</v>
      </c>
      <c r="D104" s="42"/>
      <c r="F104" s="94"/>
      <c r="G104" s="94"/>
    </row>
    <row r="105" spans="1:7" ht="12.75">
      <c r="A105" s="88" t="s">
        <v>267</v>
      </c>
      <c r="B105" s="40" t="s">
        <v>122</v>
      </c>
      <c r="C105" s="40">
        <f>4+1</f>
        <v>5</v>
      </c>
      <c r="D105" s="42"/>
      <c r="F105" s="94"/>
      <c r="G105" s="94"/>
    </row>
    <row r="106" spans="1:7" ht="12.75">
      <c r="A106" s="35" t="s">
        <v>238</v>
      </c>
      <c r="B106" s="36"/>
      <c r="C106" s="36"/>
      <c r="D106" s="45"/>
      <c r="F106" s="94"/>
      <c r="G106" s="94"/>
    </row>
    <row r="107" spans="1:7" ht="12.75">
      <c r="A107" s="43" t="s">
        <v>475</v>
      </c>
      <c r="B107" s="40" t="s">
        <v>133</v>
      </c>
      <c r="C107" s="40">
        <f>15+24.9+14.2+13+12</f>
        <v>79.1</v>
      </c>
      <c r="D107" s="42"/>
      <c r="F107" s="94"/>
      <c r="G107" s="94"/>
    </row>
    <row r="108" spans="1:7" ht="12.75">
      <c r="A108" s="35" t="s">
        <v>137</v>
      </c>
      <c r="B108" s="48"/>
      <c r="C108" s="36"/>
      <c r="D108" s="45"/>
      <c r="F108" s="94"/>
      <c r="G108" s="94"/>
    </row>
    <row r="109" spans="1:7" ht="12.75">
      <c r="A109" s="39" t="s">
        <v>138</v>
      </c>
      <c r="B109" s="40" t="s">
        <v>122</v>
      </c>
      <c r="C109" s="41">
        <f>1</f>
        <v>1</v>
      </c>
      <c r="D109" s="42"/>
      <c r="F109" s="94"/>
      <c r="G109" s="94"/>
    </row>
    <row r="110" spans="1:7" ht="12.75">
      <c r="A110" s="39" t="s">
        <v>476</v>
      </c>
      <c r="B110" s="40" t="s">
        <v>122</v>
      </c>
      <c r="C110" s="41">
        <v>5</v>
      </c>
      <c r="D110" s="42"/>
      <c r="F110" s="94"/>
      <c r="G110" s="94"/>
    </row>
    <row r="111" spans="1:7" ht="12.75">
      <c r="A111" s="35" t="s">
        <v>213</v>
      </c>
      <c r="B111" s="36"/>
      <c r="C111" s="36"/>
      <c r="D111" s="45"/>
      <c r="F111" s="94"/>
      <c r="G111" s="94"/>
    </row>
    <row r="112" spans="1:7" s="97" customFormat="1" ht="26.25" customHeight="1">
      <c r="A112" s="43" t="s">
        <v>477</v>
      </c>
      <c r="B112" s="41" t="s">
        <v>67</v>
      </c>
      <c r="C112" s="41">
        <v>1</v>
      </c>
      <c r="D112" s="96"/>
      <c r="F112" s="160"/>
      <c r="G112" s="160"/>
    </row>
    <row r="113" spans="1:7" ht="12.75">
      <c r="A113" s="80" t="s">
        <v>397</v>
      </c>
      <c r="B113" s="41" t="s">
        <v>39</v>
      </c>
      <c r="C113" s="41">
        <f>1+0.4+0.8</f>
        <v>2.2</v>
      </c>
      <c r="D113" s="42"/>
      <c r="F113" s="94"/>
      <c r="G113" s="94"/>
    </row>
    <row r="114" spans="1:7" ht="12.75">
      <c r="A114" s="80" t="s">
        <v>478</v>
      </c>
      <c r="B114" s="41" t="s">
        <v>39</v>
      </c>
      <c r="C114" s="41">
        <v>3</v>
      </c>
      <c r="D114" s="42"/>
      <c r="F114" s="94"/>
      <c r="G114" s="94"/>
    </row>
    <row r="115" spans="1:7" ht="12.75">
      <c r="A115" s="49" t="s">
        <v>141</v>
      </c>
      <c r="B115" s="36"/>
      <c r="C115" s="36"/>
      <c r="D115" s="45"/>
      <c r="F115" s="94"/>
      <c r="G115" s="94"/>
    </row>
    <row r="116" spans="1:7" ht="12.75">
      <c r="A116" s="51" t="s">
        <v>192</v>
      </c>
      <c r="B116" s="41" t="s">
        <v>67</v>
      </c>
      <c r="C116" s="41">
        <v>2</v>
      </c>
      <c r="D116" s="47" t="s">
        <v>186</v>
      </c>
      <c r="F116" s="94"/>
      <c r="G116" s="94"/>
    </row>
    <row r="117" spans="1:7" ht="12.75">
      <c r="A117" s="51" t="s">
        <v>217</v>
      </c>
      <c r="B117" s="41" t="s">
        <v>67</v>
      </c>
      <c r="C117" s="41">
        <f>1+1</f>
        <v>2</v>
      </c>
      <c r="D117" s="42"/>
      <c r="F117" s="94"/>
      <c r="G117" s="94"/>
    </row>
    <row r="118" spans="1:7" s="1" customFormat="1" ht="12.75">
      <c r="A118" s="51" t="s">
        <v>242</v>
      </c>
      <c r="B118" s="41" t="s">
        <v>67</v>
      </c>
      <c r="C118" s="41">
        <v>10</v>
      </c>
      <c r="D118" s="47" t="s">
        <v>290</v>
      </c>
      <c r="F118" s="95"/>
      <c r="G118" s="95"/>
    </row>
    <row r="119" spans="1:7" ht="12.75">
      <c r="A119" s="51" t="s">
        <v>218</v>
      </c>
      <c r="B119" s="41" t="s">
        <v>39</v>
      </c>
      <c r="C119" s="41">
        <v>0.2</v>
      </c>
      <c r="D119" s="42"/>
      <c r="F119" s="94"/>
      <c r="G119" s="94"/>
    </row>
    <row r="120" spans="1:7" ht="12.75">
      <c r="A120" s="51" t="s">
        <v>143</v>
      </c>
      <c r="B120" s="40" t="s">
        <v>67</v>
      </c>
      <c r="C120" s="46">
        <f>8+1</f>
        <v>9</v>
      </c>
      <c r="D120" s="42"/>
      <c r="F120" s="94"/>
      <c r="G120" s="94"/>
    </row>
    <row r="121" spans="1:7" ht="12.75">
      <c r="A121" s="49" t="s">
        <v>145</v>
      </c>
      <c r="B121" s="36"/>
      <c r="C121" s="50"/>
      <c r="D121" s="45"/>
      <c r="F121" s="94"/>
      <c r="G121" s="94"/>
    </row>
    <row r="122" spans="1:7" ht="12.75">
      <c r="A122" s="52" t="s">
        <v>222</v>
      </c>
      <c r="B122" s="41" t="s">
        <v>112</v>
      </c>
      <c r="C122" s="40">
        <v>7</v>
      </c>
      <c r="D122" s="42"/>
      <c r="F122" s="94"/>
      <c r="G122" s="94"/>
    </row>
    <row r="123" spans="1:7" ht="12.75">
      <c r="A123" s="52" t="s">
        <v>479</v>
      </c>
      <c r="B123" s="40" t="s">
        <v>67</v>
      </c>
      <c r="C123" s="40">
        <v>5</v>
      </c>
      <c r="D123" s="42"/>
      <c r="F123" s="94"/>
      <c r="G123" s="94"/>
    </row>
    <row r="124" spans="1:7" ht="12.75">
      <c r="A124" s="52" t="s">
        <v>149</v>
      </c>
      <c r="B124" s="40" t="s">
        <v>67</v>
      </c>
      <c r="C124" s="40">
        <v>5</v>
      </c>
      <c r="D124" s="42"/>
      <c r="F124" s="94"/>
      <c r="G124" s="94"/>
    </row>
    <row r="125" spans="1:7" ht="12.75">
      <c r="A125" s="52" t="s">
        <v>196</v>
      </c>
      <c r="B125" s="41" t="s">
        <v>67</v>
      </c>
      <c r="C125" s="41">
        <v>12</v>
      </c>
      <c r="D125" s="42"/>
      <c r="F125" s="94"/>
      <c r="G125" s="94"/>
    </row>
    <row r="126" spans="1:7" s="1" customFormat="1" ht="12.75">
      <c r="A126" s="52" t="s">
        <v>151</v>
      </c>
      <c r="B126" s="41" t="s">
        <v>39</v>
      </c>
      <c r="C126" s="41">
        <v>2700</v>
      </c>
      <c r="D126" s="47" t="s">
        <v>130</v>
      </c>
      <c r="F126" s="95"/>
      <c r="G126" s="95"/>
    </row>
    <row r="127" spans="1:7" ht="12.75">
      <c r="A127" s="52" t="s">
        <v>271</v>
      </c>
      <c r="B127" s="41" t="s">
        <v>67</v>
      </c>
      <c r="C127" s="40">
        <v>1</v>
      </c>
      <c r="D127" s="42"/>
      <c r="F127" s="94"/>
      <c r="G127" s="94"/>
    </row>
    <row r="128" spans="1:7" ht="12.75">
      <c r="A128" s="52" t="s">
        <v>318</v>
      </c>
      <c r="B128" s="41" t="s">
        <v>67</v>
      </c>
      <c r="C128" s="40">
        <f>1+1</f>
        <v>2</v>
      </c>
      <c r="D128" s="42"/>
      <c r="F128" s="94"/>
      <c r="G128" s="94"/>
    </row>
    <row r="129" spans="1:7" ht="12.75">
      <c r="A129" s="52" t="s">
        <v>154</v>
      </c>
      <c r="B129" s="41" t="s">
        <v>67</v>
      </c>
      <c r="C129" s="40">
        <v>5</v>
      </c>
      <c r="D129" s="42"/>
      <c r="F129" s="94"/>
      <c r="G129" s="94"/>
    </row>
    <row r="130" spans="1:7" ht="12.75">
      <c r="A130" s="49" t="s">
        <v>157</v>
      </c>
      <c r="B130" s="36"/>
      <c r="C130" s="36"/>
      <c r="D130" s="45"/>
      <c r="F130" s="94"/>
      <c r="G130" s="94"/>
    </row>
    <row r="131" spans="1:7" s="1" customFormat="1" ht="12.75">
      <c r="A131" s="51" t="s">
        <v>158</v>
      </c>
      <c r="B131" s="40" t="s">
        <v>67</v>
      </c>
      <c r="C131" s="41">
        <v>15</v>
      </c>
      <c r="D131" s="47" t="s">
        <v>186</v>
      </c>
      <c r="F131" s="95"/>
      <c r="G131" s="95"/>
    </row>
    <row r="132" spans="1:7" s="1" customFormat="1" ht="12.75">
      <c r="A132" s="51" t="s">
        <v>202</v>
      </c>
      <c r="B132" s="41" t="s">
        <v>39</v>
      </c>
      <c r="C132" s="41">
        <v>360</v>
      </c>
      <c r="D132" s="47" t="s">
        <v>130</v>
      </c>
      <c r="F132" s="95"/>
      <c r="G132" s="95"/>
    </row>
    <row r="133" spans="1:7" ht="25.5">
      <c r="A133" s="161" t="s">
        <v>480</v>
      </c>
      <c r="B133" s="40" t="s">
        <v>67</v>
      </c>
      <c r="C133" s="40">
        <v>10</v>
      </c>
      <c r="D133" s="42"/>
      <c r="F133" s="94"/>
      <c r="G133" s="94"/>
    </row>
    <row r="134" spans="1:7" ht="12.75">
      <c r="A134" s="161" t="s">
        <v>481</v>
      </c>
      <c r="B134" s="40" t="s">
        <v>67</v>
      </c>
      <c r="C134" s="40">
        <v>8</v>
      </c>
      <c r="D134" s="42"/>
      <c r="F134" s="94"/>
      <c r="G134" s="94"/>
    </row>
    <row r="135" spans="1:7" ht="12.75">
      <c r="A135" s="49" t="s">
        <v>161</v>
      </c>
      <c r="B135" s="36"/>
      <c r="C135" s="116"/>
      <c r="D135" s="45"/>
      <c r="F135" s="94"/>
      <c r="G135" s="94"/>
    </row>
    <row r="136" spans="1:7" ht="12.75">
      <c r="A136" s="103" t="s">
        <v>162</v>
      </c>
      <c r="B136" s="58" t="s">
        <v>39</v>
      </c>
      <c r="C136" s="56">
        <v>1474.7</v>
      </c>
      <c r="D136" s="68" t="s">
        <v>44</v>
      </c>
      <c r="F136" s="94"/>
      <c r="G136" s="94"/>
    </row>
    <row r="137" spans="1:7" ht="12.75">
      <c r="A137" s="103" t="s">
        <v>163</v>
      </c>
      <c r="B137" s="58" t="s">
        <v>39</v>
      </c>
      <c r="C137" s="56">
        <v>1474.7</v>
      </c>
      <c r="D137" s="89" t="s">
        <v>164</v>
      </c>
      <c r="F137" s="94"/>
      <c r="G137" s="94"/>
    </row>
    <row r="138" spans="1:7" ht="12.75">
      <c r="A138" s="49" t="s">
        <v>165</v>
      </c>
      <c r="B138" s="36"/>
      <c r="C138" s="116"/>
      <c r="D138" s="45"/>
      <c r="F138" s="94"/>
      <c r="G138" s="94"/>
    </row>
    <row r="139" spans="1:7" ht="12.75">
      <c r="A139" s="103" t="s">
        <v>162</v>
      </c>
      <c r="B139" s="58" t="s">
        <v>39</v>
      </c>
      <c r="C139" s="56">
        <f>1474.7+134.4</f>
        <v>1609.1000000000001</v>
      </c>
      <c r="D139" s="68" t="s">
        <v>44</v>
      </c>
      <c r="F139" s="94"/>
      <c r="G139" s="94"/>
    </row>
    <row r="140" spans="1:7" ht="12.75">
      <c r="A140" s="103" t="s">
        <v>163</v>
      </c>
      <c r="B140" s="58" t="s">
        <v>39</v>
      </c>
      <c r="C140" s="56">
        <f>1474.7+134.4</f>
        <v>1609.1000000000001</v>
      </c>
      <c r="D140" s="89" t="s">
        <v>164</v>
      </c>
      <c r="F140" s="94"/>
      <c r="G140" s="94"/>
    </row>
    <row r="141" spans="1:7" ht="12.75">
      <c r="A141" s="49" t="s">
        <v>166</v>
      </c>
      <c r="B141" s="36"/>
      <c r="C141" s="116"/>
      <c r="D141" s="45"/>
      <c r="F141" s="94"/>
      <c r="G141" s="94"/>
    </row>
    <row r="142" spans="1:7" ht="12.75">
      <c r="A142" s="103" t="s">
        <v>162</v>
      </c>
      <c r="B142" s="58" t="s">
        <v>39</v>
      </c>
      <c r="C142" s="56">
        <f>1474.7+274.2+687.5</f>
        <v>2436.4</v>
      </c>
      <c r="D142" s="68" t="s">
        <v>175</v>
      </c>
      <c r="F142" s="94"/>
      <c r="G142" s="94"/>
    </row>
    <row r="143" spans="1:7" ht="12.75">
      <c r="A143" s="103" t="s">
        <v>163</v>
      </c>
      <c r="B143" s="58" t="s">
        <v>39</v>
      </c>
      <c r="C143" s="56">
        <f>1474.7+274.2+687.5</f>
        <v>2436.4</v>
      </c>
      <c r="D143" s="89" t="s">
        <v>164</v>
      </c>
      <c r="F143" s="94"/>
      <c r="G143" s="94"/>
    </row>
    <row r="144" spans="1:7" ht="12.75">
      <c r="A144" s="49" t="s">
        <v>168</v>
      </c>
      <c r="B144" s="36"/>
      <c r="C144" s="116"/>
      <c r="D144" s="45"/>
      <c r="F144" s="94"/>
      <c r="G144" s="94"/>
    </row>
    <row r="145" spans="1:7" ht="12.75">
      <c r="A145" s="103" t="s">
        <v>482</v>
      </c>
      <c r="B145" s="55" t="s">
        <v>483</v>
      </c>
      <c r="C145" s="66" t="s">
        <v>484</v>
      </c>
      <c r="D145" s="68" t="s">
        <v>44</v>
      </c>
      <c r="F145" s="94"/>
      <c r="G145" s="94"/>
    </row>
    <row r="146" spans="1:7" ht="12.75">
      <c r="A146" s="103" t="s">
        <v>172</v>
      </c>
      <c r="B146" s="55" t="s">
        <v>483</v>
      </c>
      <c r="C146" s="66" t="s">
        <v>485</v>
      </c>
      <c r="D146" s="47" t="s">
        <v>486</v>
      </c>
      <c r="F146" s="94"/>
      <c r="G146" s="94"/>
    </row>
    <row r="147" spans="1:7" ht="12.75">
      <c r="A147" s="69" t="s">
        <v>174</v>
      </c>
      <c r="B147" s="55" t="s">
        <v>170</v>
      </c>
      <c r="C147" s="55">
        <v>5</v>
      </c>
      <c r="D147" s="68" t="s">
        <v>175</v>
      </c>
      <c r="F147" s="94"/>
      <c r="G147" s="94"/>
    </row>
    <row r="148" spans="6:7" ht="12.75">
      <c r="F148" s="94"/>
      <c r="G148" s="94"/>
    </row>
    <row r="149" spans="1:7" ht="12.75">
      <c r="A149" s="90"/>
      <c r="F149" s="94"/>
      <c r="G149" s="94"/>
    </row>
    <row r="150" spans="1:7" ht="12.75">
      <c r="A150" s="162"/>
      <c r="F150" s="94"/>
      <c r="G150" s="94"/>
    </row>
    <row r="151" spans="6:7" ht="12.75">
      <c r="F151" s="94"/>
      <c r="G151" s="94"/>
    </row>
    <row r="152" spans="6:7" ht="12.75">
      <c r="F152" s="94"/>
      <c r="G152" s="94"/>
    </row>
    <row r="153" spans="6:7" ht="12.75">
      <c r="F153" s="94"/>
      <c r="G153" s="94"/>
    </row>
    <row r="154" spans="6:7" ht="12.75">
      <c r="F154" s="94"/>
      <c r="G154" s="94"/>
    </row>
    <row r="155" spans="6:7" ht="12.75">
      <c r="F155" s="94"/>
      <c r="G155" s="94"/>
    </row>
    <row r="156" spans="6:7" ht="12.75">
      <c r="F156" s="94"/>
      <c r="G156" s="94"/>
    </row>
    <row r="157" spans="6:7" ht="12.75">
      <c r="F157" s="94"/>
      <c r="G157" s="94"/>
    </row>
    <row r="158" spans="6:7" ht="12.75">
      <c r="F158" s="94"/>
      <c r="G158" s="94"/>
    </row>
    <row r="159" spans="6:7" ht="12.75">
      <c r="F159" s="94"/>
      <c r="G159" s="94"/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5:C25"/>
    <mergeCell ref="A36:A37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4"/>
  </sheetPr>
  <dimension ref="A1:E136"/>
  <sheetViews>
    <sheetView workbookViewId="0" topLeftCell="A121">
      <selection activeCell="A139" sqref="A139"/>
    </sheetView>
  </sheetViews>
  <sheetFormatPr defaultColWidth="9.00390625" defaultRowHeight="12.75"/>
  <cols>
    <col min="1" max="1" width="47.625" style="0" customWidth="1"/>
    <col min="2" max="2" width="8.875" style="0" customWidth="1"/>
    <col min="3" max="3" width="17.75390625" style="0" customWidth="1"/>
    <col min="4" max="4" width="19.87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487</v>
      </c>
      <c r="B4" s="3"/>
      <c r="C4" s="3"/>
    </row>
    <row r="5" spans="1:3" ht="18.75" customHeight="1">
      <c r="A5" s="2" t="s">
        <v>4</v>
      </c>
      <c r="B5" s="2"/>
      <c r="C5" s="2"/>
    </row>
    <row r="6" ht="12.75">
      <c r="C6" s="1"/>
    </row>
    <row r="7" spans="1:3" ht="12.75">
      <c r="A7" t="s">
        <v>5</v>
      </c>
      <c r="C7" s="4" t="s">
        <v>488</v>
      </c>
    </row>
    <row r="8" spans="1:3" ht="12.75">
      <c r="A8" t="s">
        <v>7</v>
      </c>
      <c r="C8" s="4" t="s">
        <v>489</v>
      </c>
    </row>
    <row r="9" spans="1:3" ht="12.75">
      <c r="A9" t="s">
        <v>9</v>
      </c>
      <c r="C9" s="7" t="s">
        <v>490</v>
      </c>
    </row>
    <row r="10" ht="12.75">
      <c r="C10" s="7"/>
    </row>
    <row r="11" spans="1:3" ht="12.75">
      <c r="A11" t="s">
        <v>11</v>
      </c>
      <c r="C11" s="7" t="s">
        <v>491</v>
      </c>
    </row>
    <row r="12" spans="1:3" ht="12.75">
      <c r="A12" s="1" t="s">
        <v>13</v>
      </c>
      <c r="B12" s="1"/>
      <c r="C12" s="83"/>
    </row>
    <row r="13" spans="1:3" ht="12.75">
      <c r="A13" s="1" t="s">
        <v>14</v>
      </c>
      <c r="B13" s="1"/>
      <c r="C13" s="83"/>
    </row>
    <row r="14" spans="1:3" ht="12.75">
      <c r="A14" s="1" t="s">
        <v>15</v>
      </c>
      <c r="B14" s="1" t="s">
        <v>16</v>
      </c>
      <c r="C14" s="83"/>
    </row>
    <row r="15" spans="1:3" ht="12.75">
      <c r="A15" s="1" t="s">
        <v>17</v>
      </c>
      <c r="B15" s="1" t="s">
        <v>18</v>
      </c>
      <c r="C15" s="83"/>
    </row>
    <row r="16" spans="1:3" ht="12.75">
      <c r="A16" s="1" t="s">
        <v>19</v>
      </c>
      <c r="B16" s="1" t="s">
        <v>20</v>
      </c>
      <c r="C16" s="83"/>
    </row>
    <row r="17" spans="1:3" ht="12.75">
      <c r="A17" s="1" t="s">
        <v>21</v>
      </c>
      <c r="B17" s="1" t="s">
        <v>22</v>
      </c>
      <c r="C17" s="83"/>
    </row>
    <row r="18" spans="1:3" ht="12.75">
      <c r="A18" s="157" t="s">
        <v>23</v>
      </c>
      <c r="B18" s="1" t="s">
        <v>24</v>
      </c>
      <c r="C18" s="83"/>
    </row>
    <row r="19" spans="1:3" ht="12.75">
      <c r="A19" s="1" t="s">
        <v>25</v>
      </c>
      <c r="B19" s="1" t="s">
        <v>26</v>
      </c>
      <c r="C19" s="83"/>
    </row>
    <row r="20" spans="1:3" ht="12.75">
      <c r="A20" s="1" t="s">
        <v>27</v>
      </c>
      <c r="B20" s="1" t="s">
        <v>28</v>
      </c>
      <c r="C20" s="83"/>
    </row>
    <row r="21" spans="1:3" ht="12.75">
      <c r="A21" s="1" t="s">
        <v>29</v>
      </c>
      <c r="B21" s="1"/>
      <c r="C21" s="83"/>
    </row>
    <row r="22" spans="1:3" ht="12.75">
      <c r="A22" s="1" t="s">
        <v>30</v>
      </c>
      <c r="B22" s="1" t="s">
        <v>31</v>
      </c>
      <c r="C22" s="83"/>
    </row>
    <row r="23" ht="12.75">
      <c r="C23" s="83"/>
    </row>
    <row r="24" spans="1:3" ht="12.75">
      <c r="A24" t="s">
        <v>32</v>
      </c>
      <c r="C24" s="71">
        <v>0.8797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9" spans="1:4" ht="12.75">
      <c r="A29" s="11" t="s">
        <v>34</v>
      </c>
      <c r="B29" s="11" t="s">
        <v>35</v>
      </c>
      <c r="C29" s="11" t="s">
        <v>36</v>
      </c>
      <c r="D29" s="12" t="s">
        <v>37</v>
      </c>
    </row>
    <row r="30" spans="1:4" ht="38.25" customHeight="1">
      <c r="A30" s="13" t="s">
        <v>38</v>
      </c>
      <c r="B30" s="14" t="s">
        <v>39</v>
      </c>
      <c r="C30" s="15">
        <v>532.2</v>
      </c>
      <c r="D30" s="16" t="s">
        <v>40</v>
      </c>
    </row>
    <row r="31" spans="1:4" ht="15" customHeight="1">
      <c r="A31" s="13" t="s">
        <v>41</v>
      </c>
      <c r="B31" s="14" t="s">
        <v>39</v>
      </c>
      <c r="C31" s="15">
        <v>532.2</v>
      </c>
      <c r="D31" s="16" t="s">
        <v>42</v>
      </c>
    </row>
    <row r="32" spans="1:4" ht="12.75">
      <c r="A32" s="13" t="s">
        <v>43</v>
      </c>
      <c r="B32" s="14" t="s">
        <v>39</v>
      </c>
      <c r="C32" s="15">
        <v>834</v>
      </c>
      <c r="D32" s="16" t="s">
        <v>44</v>
      </c>
    </row>
    <row r="33" spans="1:4" ht="15" customHeight="1">
      <c r="A33" s="13" t="s">
        <v>45</v>
      </c>
      <c r="B33" s="14" t="s">
        <v>39</v>
      </c>
      <c r="C33" s="15">
        <v>88</v>
      </c>
      <c r="D33" s="16" t="s">
        <v>46</v>
      </c>
    </row>
    <row r="34" spans="1:4" ht="25.5" customHeight="1">
      <c r="A34" s="13" t="s">
        <v>47</v>
      </c>
      <c r="B34" s="17" t="s">
        <v>39</v>
      </c>
      <c r="C34" s="15">
        <v>263</v>
      </c>
      <c r="D34" s="16" t="s">
        <v>48</v>
      </c>
    </row>
    <row r="35" spans="1:4" ht="27" customHeight="1">
      <c r="A35" s="13" t="s">
        <v>49</v>
      </c>
      <c r="B35" s="17" t="s">
        <v>50</v>
      </c>
      <c r="C35" s="164">
        <v>532.2</v>
      </c>
      <c r="D35" s="16" t="s">
        <v>51</v>
      </c>
    </row>
    <row r="36" spans="1:4" ht="26.25" customHeight="1">
      <c r="A36" s="13" t="s">
        <v>52</v>
      </c>
      <c r="B36" s="17" t="s">
        <v>39</v>
      </c>
      <c r="C36" s="15">
        <v>160</v>
      </c>
      <c r="D36" s="16" t="s">
        <v>53</v>
      </c>
    </row>
    <row r="37" spans="1:4" ht="15.75" customHeight="1">
      <c r="A37" s="13" t="s">
        <v>54</v>
      </c>
      <c r="B37" s="17" t="s">
        <v>39</v>
      </c>
      <c r="C37" s="15">
        <v>3</v>
      </c>
      <c r="D37" s="16" t="s">
        <v>55</v>
      </c>
    </row>
    <row r="38" spans="1:4" ht="27.75" customHeight="1">
      <c r="A38" s="13" t="s">
        <v>56</v>
      </c>
      <c r="B38" s="17" t="s">
        <v>39</v>
      </c>
      <c r="C38" s="15">
        <v>3</v>
      </c>
      <c r="D38" s="16" t="s">
        <v>57</v>
      </c>
    </row>
    <row r="39" spans="1:4" ht="27.75" customHeight="1">
      <c r="A39" s="13"/>
      <c r="B39" s="17" t="s">
        <v>39</v>
      </c>
      <c r="C39" s="15">
        <v>3</v>
      </c>
      <c r="D39" s="16" t="s">
        <v>58</v>
      </c>
    </row>
    <row r="40" spans="1:4" ht="12.75">
      <c r="A40" s="13" t="s">
        <v>59</v>
      </c>
      <c r="B40" s="17" t="s">
        <v>39</v>
      </c>
      <c r="C40" s="15">
        <v>27</v>
      </c>
      <c r="D40" s="16" t="s">
        <v>60</v>
      </c>
    </row>
    <row r="41" spans="1:4" ht="14.25" customHeight="1">
      <c r="A41" s="13" t="s">
        <v>61</v>
      </c>
      <c r="B41" s="17" t="s">
        <v>39</v>
      </c>
      <c r="C41" s="15">
        <v>965.2</v>
      </c>
      <c r="D41" s="16" t="s">
        <v>46</v>
      </c>
    </row>
    <row r="42" spans="1:4" ht="27" customHeight="1">
      <c r="A42" s="13" t="s">
        <v>62</v>
      </c>
      <c r="B42" s="17" t="s">
        <v>39</v>
      </c>
      <c r="C42" s="15">
        <v>532.2</v>
      </c>
      <c r="D42" s="16" t="s">
        <v>53</v>
      </c>
    </row>
    <row r="43" spans="1:4" ht="15" customHeight="1">
      <c r="A43" s="13" t="s">
        <v>63</v>
      </c>
      <c r="B43" s="17" t="s">
        <v>39</v>
      </c>
      <c r="C43" s="15">
        <v>3</v>
      </c>
      <c r="D43" s="16" t="s">
        <v>44</v>
      </c>
    </row>
    <row r="44" spans="1:4" ht="15" customHeight="1">
      <c r="A44" s="13" t="s">
        <v>64</v>
      </c>
      <c r="B44" s="17" t="s">
        <v>39</v>
      </c>
      <c r="C44" s="15">
        <v>120.6</v>
      </c>
      <c r="D44" s="16" t="s">
        <v>44</v>
      </c>
    </row>
    <row r="45" spans="1:4" ht="31.5" customHeight="1">
      <c r="A45" s="13" t="s">
        <v>65</v>
      </c>
      <c r="B45" s="17" t="s">
        <v>39</v>
      </c>
      <c r="C45" s="15">
        <v>57</v>
      </c>
      <c r="D45" s="16" t="s">
        <v>53</v>
      </c>
    </row>
    <row r="46" spans="1:4" ht="15.75" customHeight="1">
      <c r="A46" s="13" t="s">
        <v>66</v>
      </c>
      <c r="B46" s="17" t="s">
        <v>67</v>
      </c>
      <c r="C46" s="15">
        <v>3</v>
      </c>
      <c r="D46" s="16" t="s">
        <v>60</v>
      </c>
    </row>
    <row r="47" spans="1:4" ht="33" customHeight="1">
      <c r="A47" s="13" t="s">
        <v>68</v>
      </c>
      <c r="B47" s="17" t="s">
        <v>67</v>
      </c>
      <c r="C47" s="15">
        <v>3</v>
      </c>
      <c r="D47" s="16" t="s">
        <v>69</v>
      </c>
    </row>
    <row r="48" spans="1:4" ht="17.25" customHeight="1">
      <c r="A48" s="13" t="s">
        <v>70</v>
      </c>
      <c r="B48" s="17" t="s">
        <v>39</v>
      </c>
      <c r="C48" s="15">
        <v>15</v>
      </c>
      <c r="D48" s="16" t="s">
        <v>71</v>
      </c>
    </row>
    <row r="49" spans="1:4" ht="26.25" customHeight="1">
      <c r="A49" s="13" t="s">
        <v>72</v>
      </c>
      <c r="B49" s="17" t="s">
        <v>39</v>
      </c>
      <c r="C49" s="15">
        <f>1*1.88*8*3</f>
        <v>45.12</v>
      </c>
      <c r="D49" s="16" t="s">
        <v>53</v>
      </c>
    </row>
    <row r="50" spans="1:4" ht="17.25" customHeight="1">
      <c r="A50" s="13" t="s">
        <v>73</v>
      </c>
      <c r="B50" s="17" t="s">
        <v>67</v>
      </c>
      <c r="C50" s="15">
        <v>3</v>
      </c>
      <c r="D50" s="16" t="s">
        <v>44</v>
      </c>
    </row>
    <row r="51" spans="1:4" ht="16.5" customHeight="1">
      <c r="A51" s="25" t="s">
        <v>74</v>
      </c>
      <c r="B51" s="108" t="s">
        <v>39</v>
      </c>
      <c r="C51" s="109">
        <v>911.8</v>
      </c>
      <c r="D51" s="110" t="s">
        <v>60</v>
      </c>
    </row>
    <row r="52" spans="1:4" ht="12.75" customHeight="1">
      <c r="A52" s="18" t="s">
        <v>75</v>
      </c>
      <c r="B52" s="18"/>
      <c r="C52" s="18"/>
      <c r="D52" s="19"/>
    </row>
    <row r="53" spans="1:4" ht="12.75" customHeight="1">
      <c r="A53" s="20" t="s">
        <v>76</v>
      </c>
      <c r="B53" s="20"/>
      <c r="C53" s="20"/>
      <c r="D53" s="21"/>
    </row>
    <row r="54" spans="1:4" ht="12.75" customHeight="1">
      <c r="A54" s="22" t="s">
        <v>77</v>
      </c>
      <c r="B54" s="22"/>
      <c r="C54" s="22"/>
      <c r="D54" s="23"/>
    </row>
    <row r="55" spans="1:4" ht="36" customHeight="1">
      <c r="A55" s="111" t="s">
        <v>78</v>
      </c>
      <c r="B55" s="112" t="s">
        <v>79</v>
      </c>
      <c r="C55" s="112"/>
      <c r="D55" s="111" t="s">
        <v>80</v>
      </c>
    </row>
    <row r="56" spans="1:4" ht="36.75" customHeight="1">
      <c r="A56" s="13" t="s">
        <v>81</v>
      </c>
      <c r="B56" s="24" t="s">
        <v>79</v>
      </c>
      <c r="C56" s="24"/>
      <c r="D56" s="13" t="s">
        <v>80</v>
      </c>
    </row>
    <row r="57" spans="1:4" ht="36.75" customHeight="1">
      <c r="A57" s="13" t="s">
        <v>82</v>
      </c>
      <c r="B57" s="24" t="s">
        <v>79</v>
      </c>
      <c r="C57" s="24"/>
      <c r="D57" s="13" t="s">
        <v>83</v>
      </c>
    </row>
    <row r="58" spans="1:4" ht="37.5" customHeight="1">
      <c r="A58" s="13" t="s">
        <v>84</v>
      </c>
      <c r="B58" s="24" t="s">
        <v>79</v>
      </c>
      <c r="C58" s="24"/>
      <c r="D58" s="13" t="s">
        <v>83</v>
      </c>
    </row>
    <row r="59" spans="1:4" ht="36" customHeight="1">
      <c r="A59" s="13" t="s">
        <v>85</v>
      </c>
      <c r="B59" s="24" t="s">
        <v>79</v>
      </c>
      <c r="C59" s="24"/>
      <c r="D59" s="13" t="s">
        <v>86</v>
      </c>
    </row>
    <row r="60" spans="1:4" ht="37.5" customHeight="1">
      <c r="A60" s="13" t="s">
        <v>87</v>
      </c>
      <c r="B60" s="24" t="s">
        <v>79</v>
      </c>
      <c r="C60" s="24"/>
      <c r="D60" s="13" t="s">
        <v>88</v>
      </c>
    </row>
    <row r="61" spans="1:4" ht="37.5" customHeight="1">
      <c r="A61" s="13" t="s">
        <v>89</v>
      </c>
      <c r="B61" s="24" t="s">
        <v>79</v>
      </c>
      <c r="C61" s="24"/>
      <c r="D61" s="13" t="s">
        <v>40</v>
      </c>
    </row>
    <row r="62" spans="1:4" ht="36.75" customHeight="1">
      <c r="A62" s="13" t="s">
        <v>90</v>
      </c>
      <c r="B62" s="24" t="s">
        <v>79</v>
      </c>
      <c r="C62" s="24"/>
      <c r="D62" s="13" t="s">
        <v>88</v>
      </c>
    </row>
    <row r="63" spans="1:4" ht="37.5" customHeight="1">
      <c r="A63" s="13" t="s">
        <v>91</v>
      </c>
      <c r="B63" s="24" t="s">
        <v>79</v>
      </c>
      <c r="C63" s="24"/>
      <c r="D63" s="13" t="s">
        <v>92</v>
      </c>
    </row>
    <row r="64" spans="1:4" ht="37.5" customHeight="1">
      <c r="A64" s="13" t="s">
        <v>93</v>
      </c>
      <c r="B64" s="24" t="s">
        <v>79</v>
      </c>
      <c r="C64" s="24"/>
      <c r="D64" s="86" t="s">
        <v>94</v>
      </c>
    </row>
    <row r="65" spans="1:4" ht="12.75" customHeight="1">
      <c r="A65" s="28" t="s">
        <v>95</v>
      </c>
      <c r="B65" s="28"/>
      <c r="C65" s="29"/>
      <c r="D65" s="30"/>
    </row>
    <row r="66" spans="1:4" ht="36.75" customHeight="1">
      <c r="A66" s="13" t="s">
        <v>96</v>
      </c>
      <c r="B66" s="24" t="s">
        <v>79</v>
      </c>
      <c r="C66" s="24"/>
      <c r="D66" s="13" t="s">
        <v>88</v>
      </c>
    </row>
    <row r="67" spans="1:4" ht="34.5" customHeight="1">
      <c r="A67" s="13" t="s">
        <v>97</v>
      </c>
      <c r="B67" s="24" t="s">
        <v>79</v>
      </c>
      <c r="C67" s="24"/>
      <c r="D67" s="13" t="s">
        <v>98</v>
      </c>
    </row>
    <row r="68" spans="1:4" ht="37.5" customHeight="1">
      <c r="A68" s="13" t="s">
        <v>99</v>
      </c>
      <c r="B68" s="24" t="s">
        <v>79</v>
      </c>
      <c r="C68" s="24"/>
      <c r="D68" s="13" t="s">
        <v>100</v>
      </c>
    </row>
    <row r="69" spans="1:4" ht="38.25" customHeight="1">
      <c r="A69" s="13" t="s">
        <v>101</v>
      </c>
      <c r="B69" s="24" t="s">
        <v>79</v>
      </c>
      <c r="C69" s="24"/>
      <c r="D69" s="13" t="s">
        <v>88</v>
      </c>
    </row>
    <row r="70" spans="1:4" ht="38.25" customHeight="1">
      <c r="A70" s="13" t="s">
        <v>102</v>
      </c>
      <c r="B70" s="24" t="s">
        <v>79</v>
      </c>
      <c r="C70" s="24"/>
      <c r="D70" s="13" t="s">
        <v>60</v>
      </c>
    </row>
    <row r="71" spans="1:4" ht="38.25" customHeight="1">
      <c r="A71" s="13" t="s">
        <v>103</v>
      </c>
      <c r="B71" s="24" t="s">
        <v>79</v>
      </c>
      <c r="C71" s="24"/>
      <c r="D71" s="13" t="s">
        <v>104</v>
      </c>
    </row>
    <row r="72" spans="1:4" ht="40.5" customHeight="1">
      <c r="A72" s="13" t="s">
        <v>105</v>
      </c>
      <c r="B72" s="24" t="s">
        <v>79</v>
      </c>
      <c r="C72" s="24"/>
      <c r="D72" s="13" t="s">
        <v>106</v>
      </c>
    </row>
    <row r="73" spans="1:4" ht="37.5" customHeight="1">
      <c r="A73" s="13" t="s">
        <v>107</v>
      </c>
      <c r="B73" s="24" t="s">
        <v>79</v>
      </c>
      <c r="C73" s="24"/>
      <c r="D73" s="13" t="s">
        <v>108</v>
      </c>
    </row>
    <row r="74" spans="1:4" ht="12.75" customHeight="1">
      <c r="A74" s="13" t="s">
        <v>89</v>
      </c>
      <c r="B74" s="24" t="s">
        <v>463</v>
      </c>
      <c r="C74" s="24"/>
      <c r="D74" s="13"/>
    </row>
    <row r="75" spans="1:4" ht="38.25" customHeight="1">
      <c r="A75" s="13" t="s">
        <v>109</v>
      </c>
      <c r="B75" s="24" t="s">
        <v>79</v>
      </c>
      <c r="C75" s="24"/>
      <c r="D75" s="13" t="s">
        <v>108</v>
      </c>
    </row>
    <row r="76" spans="1:4" ht="12.75" customHeight="1">
      <c r="A76" s="28" t="s">
        <v>110</v>
      </c>
      <c r="B76" s="28"/>
      <c r="C76" s="31"/>
      <c r="D76" s="30"/>
    </row>
    <row r="77" spans="1:4" ht="27.75" customHeight="1">
      <c r="A77" s="13" t="s">
        <v>111</v>
      </c>
      <c r="B77" s="14" t="s">
        <v>112</v>
      </c>
      <c r="C77" s="15">
        <f>316*1.15*12</f>
        <v>4360.799999999999</v>
      </c>
      <c r="D77" s="74" t="s">
        <v>69</v>
      </c>
    </row>
    <row r="78" spans="1:4" ht="17.25" customHeight="1">
      <c r="A78" s="13" t="s">
        <v>113</v>
      </c>
      <c r="B78" s="33" t="s">
        <v>112</v>
      </c>
      <c r="C78" s="15">
        <f>0.75*3*2*51</f>
        <v>229.5</v>
      </c>
      <c r="D78" s="74" t="s">
        <v>114</v>
      </c>
    </row>
    <row r="79" spans="1:4" ht="24.75" customHeight="1">
      <c r="A79" s="13" t="s">
        <v>115</v>
      </c>
      <c r="B79" s="14" t="s">
        <v>67</v>
      </c>
      <c r="C79" s="15">
        <v>3</v>
      </c>
      <c r="D79" s="74" t="s">
        <v>116</v>
      </c>
    </row>
    <row r="80" spans="1:4" ht="12.75" customHeight="1">
      <c r="A80" s="75" t="s">
        <v>117</v>
      </c>
      <c r="B80" s="75"/>
      <c r="C80" s="165"/>
      <c r="D80" s="145"/>
    </row>
    <row r="81" spans="1:4" ht="12.75">
      <c r="A81" s="35" t="s">
        <v>118</v>
      </c>
      <c r="B81" s="36"/>
      <c r="C81" s="61"/>
      <c r="D81" s="38"/>
    </row>
    <row r="82" spans="1:4" ht="12.75">
      <c r="A82" s="39" t="s">
        <v>492</v>
      </c>
      <c r="B82" s="40" t="s">
        <v>67</v>
      </c>
      <c r="C82" s="41">
        <v>8</v>
      </c>
      <c r="D82" s="42"/>
    </row>
    <row r="83" spans="1:4" ht="12.75">
      <c r="A83" s="39" t="s">
        <v>493</v>
      </c>
      <c r="B83" s="40" t="s">
        <v>67</v>
      </c>
      <c r="C83" s="40">
        <v>9</v>
      </c>
      <c r="D83" s="42"/>
    </row>
    <row r="84" spans="1:4" ht="12.75">
      <c r="A84" s="35" t="s">
        <v>467</v>
      </c>
      <c r="B84" s="36"/>
      <c r="C84" s="36"/>
      <c r="D84" s="45"/>
    </row>
    <row r="85" spans="1:4" ht="12.75">
      <c r="A85" s="43" t="s">
        <v>127</v>
      </c>
      <c r="B85" s="46" t="s">
        <v>67</v>
      </c>
      <c r="C85" s="40">
        <f>2+2+2</f>
        <v>6</v>
      </c>
      <c r="D85" s="42"/>
    </row>
    <row r="86" spans="1:4" ht="12.75">
      <c r="A86" s="43" t="s">
        <v>128</v>
      </c>
      <c r="B86" s="46" t="s">
        <v>67</v>
      </c>
      <c r="C86" s="41">
        <f>1+1</f>
        <v>2</v>
      </c>
      <c r="D86" s="42"/>
    </row>
    <row r="87" spans="1:4" ht="12.75">
      <c r="A87" s="43" t="s">
        <v>494</v>
      </c>
      <c r="B87" s="40" t="s">
        <v>67</v>
      </c>
      <c r="C87" s="41">
        <f>1+5</f>
        <v>6</v>
      </c>
      <c r="D87" s="42"/>
    </row>
    <row r="88" spans="1:4" ht="12.75">
      <c r="A88" s="87" t="s">
        <v>131</v>
      </c>
      <c r="B88" s="40" t="s">
        <v>67</v>
      </c>
      <c r="C88" s="41">
        <f>1+2</f>
        <v>3</v>
      </c>
      <c r="D88" s="42"/>
    </row>
    <row r="89" spans="1:4" ht="12.75">
      <c r="A89" s="43" t="s">
        <v>470</v>
      </c>
      <c r="B89" s="46" t="s">
        <v>67</v>
      </c>
      <c r="C89" s="41">
        <f>2+1+2+1</f>
        <v>6</v>
      </c>
      <c r="D89" s="42"/>
    </row>
    <row r="90" spans="1:4" ht="12.75">
      <c r="A90" s="43" t="s">
        <v>188</v>
      </c>
      <c r="B90" s="46" t="s">
        <v>67</v>
      </c>
      <c r="C90" s="41">
        <v>2</v>
      </c>
      <c r="D90" s="42"/>
    </row>
    <row r="91" spans="1:4" ht="12.75">
      <c r="A91" s="43" t="s">
        <v>495</v>
      </c>
      <c r="B91" s="40" t="s">
        <v>67</v>
      </c>
      <c r="C91" s="41">
        <v>2</v>
      </c>
      <c r="D91" s="42"/>
    </row>
    <row r="92" spans="1:4" ht="12.75">
      <c r="A92" s="43" t="s">
        <v>189</v>
      </c>
      <c r="B92" s="40" t="s">
        <v>133</v>
      </c>
      <c r="C92" s="41">
        <f>15+3+6+9</f>
        <v>33</v>
      </c>
      <c r="D92" s="42"/>
    </row>
    <row r="93" spans="1:4" ht="12.75">
      <c r="A93" s="43" t="s">
        <v>190</v>
      </c>
      <c r="B93" s="40" t="s">
        <v>67</v>
      </c>
      <c r="C93" s="41">
        <f>1+3</f>
        <v>4</v>
      </c>
      <c r="D93" s="42"/>
    </row>
    <row r="94" spans="1:4" ht="12.75">
      <c r="A94" s="43" t="s">
        <v>134</v>
      </c>
      <c r="B94" s="40" t="s">
        <v>39</v>
      </c>
      <c r="C94" s="41">
        <f>0.7+0.2+0.4+3.5+1.4</f>
        <v>6.199999999999999</v>
      </c>
      <c r="D94" s="42"/>
    </row>
    <row r="95" spans="1:4" ht="12.75">
      <c r="A95" s="43" t="s">
        <v>277</v>
      </c>
      <c r="B95" s="40" t="s">
        <v>67</v>
      </c>
      <c r="C95" s="41">
        <f>5+3</f>
        <v>8</v>
      </c>
      <c r="D95" s="42"/>
    </row>
    <row r="96" spans="1:4" ht="12.75">
      <c r="A96" s="43" t="s">
        <v>496</v>
      </c>
      <c r="B96" s="40" t="s">
        <v>67</v>
      </c>
      <c r="C96" s="41">
        <v>3</v>
      </c>
      <c r="D96" s="42"/>
    </row>
    <row r="97" spans="1:4" ht="12.75">
      <c r="A97" s="43" t="s">
        <v>497</v>
      </c>
      <c r="B97" s="40" t="s">
        <v>67</v>
      </c>
      <c r="C97" s="41">
        <f>2+1</f>
        <v>3</v>
      </c>
      <c r="D97" s="42"/>
    </row>
    <row r="98" spans="1:4" ht="12.75">
      <c r="A98" s="43" t="s">
        <v>346</v>
      </c>
      <c r="B98" s="40" t="s">
        <v>122</v>
      </c>
      <c r="C98" s="40">
        <v>1</v>
      </c>
      <c r="D98" s="42"/>
    </row>
    <row r="99" spans="1:4" ht="12.75">
      <c r="A99" s="43" t="s">
        <v>474</v>
      </c>
      <c r="B99" s="40" t="s">
        <v>39</v>
      </c>
      <c r="C99" s="40">
        <f>0.2+0.3</f>
        <v>0.5</v>
      </c>
      <c r="D99" s="42"/>
    </row>
    <row r="100" spans="1:4" ht="12.75">
      <c r="A100" s="35" t="s">
        <v>137</v>
      </c>
      <c r="B100" s="48"/>
      <c r="C100" s="36"/>
      <c r="D100" s="45"/>
    </row>
    <row r="101" spans="1:4" ht="12.75">
      <c r="A101" s="39" t="s">
        <v>498</v>
      </c>
      <c r="B101" s="40" t="s">
        <v>39</v>
      </c>
      <c r="C101" s="41">
        <v>0.5</v>
      </c>
      <c r="D101" s="42"/>
    </row>
    <row r="102" spans="1:4" ht="12.75">
      <c r="A102" s="39" t="s">
        <v>499</v>
      </c>
      <c r="B102" s="40" t="s">
        <v>122</v>
      </c>
      <c r="C102" s="41">
        <f>2</f>
        <v>2</v>
      </c>
      <c r="D102" s="42"/>
    </row>
    <row r="103" spans="1:4" ht="12.75">
      <c r="A103" s="49" t="s">
        <v>141</v>
      </c>
      <c r="B103" s="36"/>
      <c r="C103" s="36"/>
      <c r="D103" s="45"/>
    </row>
    <row r="104" spans="1:4" ht="12.75">
      <c r="A104" s="51" t="s">
        <v>192</v>
      </c>
      <c r="B104" s="41" t="s">
        <v>67</v>
      </c>
      <c r="C104" s="41">
        <f>1+1</f>
        <v>2</v>
      </c>
      <c r="D104" s="42"/>
    </row>
    <row r="105" spans="1:4" s="1" customFormat="1" ht="12.75">
      <c r="A105" s="51" t="s">
        <v>242</v>
      </c>
      <c r="B105" s="41" t="s">
        <v>67</v>
      </c>
      <c r="C105" s="41">
        <v>6</v>
      </c>
      <c r="D105" s="47" t="s">
        <v>186</v>
      </c>
    </row>
    <row r="106" spans="1:4" ht="12.75">
      <c r="A106" s="51" t="s">
        <v>143</v>
      </c>
      <c r="B106" s="40" t="s">
        <v>67</v>
      </c>
      <c r="C106" s="46">
        <f>3</f>
        <v>3</v>
      </c>
      <c r="D106" s="42"/>
    </row>
    <row r="107" spans="1:4" ht="12.75">
      <c r="A107" s="49" t="s">
        <v>145</v>
      </c>
      <c r="B107" s="36"/>
      <c r="C107" s="36"/>
      <c r="D107" s="45"/>
    </row>
    <row r="108" spans="1:4" ht="12.75">
      <c r="A108" s="52" t="s">
        <v>500</v>
      </c>
      <c r="B108" s="41" t="s">
        <v>112</v>
      </c>
      <c r="C108" s="41">
        <v>14</v>
      </c>
      <c r="D108" s="42"/>
    </row>
    <row r="109" spans="1:4" ht="12.75">
      <c r="A109" s="52" t="s">
        <v>501</v>
      </c>
      <c r="B109" s="41" t="s">
        <v>112</v>
      </c>
      <c r="C109" s="41">
        <v>7</v>
      </c>
      <c r="D109" s="42"/>
    </row>
    <row r="110" spans="1:4" ht="12.75">
      <c r="A110" s="52" t="s">
        <v>148</v>
      </c>
      <c r="B110" s="40" t="s">
        <v>67</v>
      </c>
      <c r="C110" s="40">
        <v>1</v>
      </c>
      <c r="D110" s="42"/>
    </row>
    <row r="111" spans="1:4" ht="12.75">
      <c r="A111" s="52" t="s">
        <v>149</v>
      </c>
      <c r="B111" s="40" t="s">
        <v>67</v>
      </c>
      <c r="C111" s="40">
        <v>3</v>
      </c>
      <c r="D111" s="42"/>
    </row>
    <row r="112" spans="1:4" s="1" customFormat="1" ht="12.75">
      <c r="A112" s="52" t="s">
        <v>151</v>
      </c>
      <c r="B112" s="41" t="s">
        <v>39</v>
      </c>
      <c r="C112" s="41">
        <v>1200</v>
      </c>
      <c r="D112" s="47" t="s">
        <v>130</v>
      </c>
    </row>
    <row r="113" spans="1:4" ht="12.75">
      <c r="A113" s="52" t="s">
        <v>502</v>
      </c>
      <c r="B113" s="41" t="s">
        <v>67</v>
      </c>
      <c r="C113" s="40">
        <f>3</f>
        <v>3</v>
      </c>
      <c r="D113" s="42"/>
    </row>
    <row r="114" spans="1:4" ht="12.75">
      <c r="A114" s="52" t="s">
        <v>152</v>
      </c>
      <c r="B114" s="41" t="s">
        <v>133</v>
      </c>
      <c r="C114" s="40"/>
      <c r="D114" s="42"/>
    </row>
    <row r="115" spans="1:4" ht="12.75">
      <c r="A115" s="53" t="s">
        <v>153</v>
      </c>
      <c r="B115" s="41" t="s">
        <v>67</v>
      </c>
      <c r="C115" s="40">
        <f>18</f>
        <v>18</v>
      </c>
      <c r="D115" s="42"/>
    </row>
    <row r="116" spans="1:4" ht="12.75">
      <c r="A116" s="52" t="s">
        <v>503</v>
      </c>
      <c r="B116" s="41" t="s">
        <v>67</v>
      </c>
      <c r="C116" s="40">
        <v>1</v>
      </c>
      <c r="D116" s="42"/>
    </row>
    <row r="117" spans="1:4" ht="12.75">
      <c r="A117" s="52" t="s">
        <v>318</v>
      </c>
      <c r="B117" s="41" t="s">
        <v>67</v>
      </c>
      <c r="C117" s="40">
        <f>2</f>
        <v>2</v>
      </c>
      <c r="D117" s="42"/>
    </row>
    <row r="118" spans="1:4" ht="12.75">
      <c r="A118" s="52" t="s">
        <v>154</v>
      </c>
      <c r="B118" s="41" t="s">
        <v>67</v>
      </c>
      <c r="C118" s="40">
        <v>2</v>
      </c>
      <c r="D118" s="42"/>
    </row>
    <row r="119" spans="1:4" ht="12.75">
      <c r="A119" s="52" t="s">
        <v>199</v>
      </c>
      <c r="B119" s="41" t="s">
        <v>67</v>
      </c>
      <c r="C119" s="40">
        <v>1</v>
      </c>
      <c r="D119" s="42"/>
    </row>
    <row r="120" spans="1:4" ht="12.75">
      <c r="A120" s="49" t="s">
        <v>157</v>
      </c>
      <c r="B120" s="36"/>
      <c r="C120" s="36"/>
      <c r="D120" s="45"/>
    </row>
    <row r="121" spans="1:4" s="114" customFormat="1" ht="12.75">
      <c r="A121" s="80" t="s">
        <v>158</v>
      </c>
      <c r="B121" s="41" t="s">
        <v>67</v>
      </c>
      <c r="C121" s="41">
        <v>9</v>
      </c>
      <c r="D121" s="68" t="s">
        <v>504</v>
      </c>
    </row>
    <row r="122" spans="1:4" s="114" customFormat="1" ht="12.75">
      <c r="A122" s="80" t="s">
        <v>202</v>
      </c>
      <c r="B122" s="41" t="s">
        <v>39</v>
      </c>
      <c r="C122" s="41">
        <v>108</v>
      </c>
      <c r="D122" s="44"/>
    </row>
    <row r="123" spans="1:4" ht="12.75">
      <c r="A123" s="51" t="s">
        <v>247</v>
      </c>
      <c r="B123" s="40" t="s">
        <v>67</v>
      </c>
      <c r="C123" s="40">
        <v>3</v>
      </c>
      <c r="D123" s="42"/>
    </row>
    <row r="124" spans="1:4" ht="12.75">
      <c r="A124" s="49" t="s">
        <v>161</v>
      </c>
      <c r="B124" s="36"/>
      <c r="C124" s="116"/>
      <c r="D124" s="45"/>
    </row>
    <row r="125" spans="1:4" ht="21.75" customHeight="1">
      <c r="A125" s="166" t="s">
        <v>162</v>
      </c>
      <c r="B125" s="56" t="s">
        <v>39</v>
      </c>
      <c r="C125" s="56">
        <v>911.8</v>
      </c>
      <c r="D125" s="68" t="s">
        <v>44</v>
      </c>
    </row>
    <row r="126" spans="1:4" ht="12.75">
      <c r="A126" s="166" t="s">
        <v>163</v>
      </c>
      <c r="B126" s="56" t="s">
        <v>39</v>
      </c>
      <c r="C126" s="56">
        <v>911.8</v>
      </c>
      <c r="D126" s="89" t="s">
        <v>164</v>
      </c>
    </row>
    <row r="127" spans="1:4" ht="12.75">
      <c r="A127" s="35" t="s">
        <v>165</v>
      </c>
      <c r="B127" s="38"/>
      <c r="C127" s="61"/>
      <c r="D127" s="62"/>
    </row>
    <row r="128" spans="1:4" ht="12.75">
      <c r="A128" s="166" t="s">
        <v>162</v>
      </c>
      <c r="B128" s="56" t="s">
        <v>39</v>
      </c>
      <c r="C128" s="56">
        <f>911.8+80.64</f>
        <v>992.4399999999999</v>
      </c>
      <c r="D128" s="68" t="s">
        <v>44</v>
      </c>
    </row>
    <row r="129" spans="1:4" ht="12.75">
      <c r="A129" s="166" t="s">
        <v>163</v>
      </c>
      <c r="B129" s="56" t="s">
        <v>39</v>
      </c>
      <c r="C129" s="56">
        <f>911.8+80.64</f>
        <v>992.4399999999999</v>
      </c>
      <c r="D129" s="89" t="s">
        <v>164</v>
      </c>
    </row>
    <row r="130" spans="1:4" ht="12.75">
      <c r="A130" s="35" t="s">
        <v>166</v>
      </c>
      <c r="B130" s="38"/>
      <c r="C130" s="61"/>
      <c r="D130" s="62"/>
    </row>
    <row r="131" spans="1:4" ht="17.25" customHeight="1">
      <c r="A131" s="166" t="s">
        <v>162</v>
      </c>
      <c r="B131" s="56" t="s">
        <v>39</v>
      </c>
      <c r="C131" s="56">
        <f>911.8+156+369</f>
        <v>1436.8</v>
      </c>
      <c r="D131" s="68" t="s">
        <v>175</v>
      </c>
    </row>
    <row r="132" spans="1:4" ht="12.75">
      <c r="A132" s="166" t="s">
        <v>163</v>
      </c>
      <c r="B132" s="56" t="s">
        <v>39</v>
      </c>
      <c r="C132" s="56">
        <f>911.8+156+369</f>
        <v>1436.8</v>
      </c>
      <c r="D132" s="89" t="s">
        <v>164</v>
      </c>
    </row>
    <row r="133" spans="1:4" ht="12.75">
      <c r="A133" s="35" t="s">
        <v>168</v>
      </c>
      <c r="B133" s="36"/>
      <c r="C133" s="116"/>
      <c r="D133" s="45"/>
    </row>
    <row r="134" spans="1:5" ht="30" customHeight="1">
      <c r="A134" s="103" t="s">
        <v>482</v>
      </c>
      <c r="B134" s="55" t="s">
        <v>483</v>
      </c>
      <c r="C134" s="66" t="s">
        <v>505</v>
      </c>
      <c r="D134" s="68" t="s">
        <v>44</v>
      </c>
      <c r="E134" s="67"/>
    </row>
    <row r="135" spans="1:4" ht="12.75">
      <c r="A135" s="166" t="s">
        <v>172</v>
      </c>
      <c r="B135" s="55" t="s">
        <v>483</v>
      </c>
      <c r="C135" s="66" t="s">
        <v>506</v>
      </c>
      <c r="D135" s="85" t="s">
        <v>507</v>
      </c>
    </row>
    <row r="136" spans="1:4" ht="12.75">
      <c r="A136" s="69" t="s">
        <v>174</v>
      </c>
      <c r="B136" s="55" t="s">
        <v>170</v>
      </c>
      <c r="C136" s="55">
        <v>3</v>
      </c>
      <c r="D136" s="68" t="s">
        <v>175</v>
      </c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8:A39"/>
    <mergeCell ref="A52:C52"/>
    <mergeCell ref="A53:C53"/>
    <mergeCell ref="A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B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B76"/>
    <mergeCell ref="A80:B80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4"/>
  </sheetPr>
  <dimension ref="A1:G145"/>
  <sheetViews>
    <sheetView workbookViewId="0" topLeftCell="A112">
      <selection activeCell="A136" sqref="A136"/>
    </sheetView>
  </sheetViews>
  <sheetFormatPr defaultColWidth="9.00390625" defaultRowHeight="12.75"/>
  <cols>
    <col min="1" max="1" width="46.375" style="0" customWidth="1"/>
    <col min="2" max="2" width="9.25390625" style="0" customWidth="1"/>
    <col min="3" max="3" width="18.125" style="0" customWidth="1"/>
    <col min="4" max="4" width="20.1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508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509</v>
      </c>
    </row>
    <row r="8" spans="1:3" ht="12.75">
      <c r="A8" t="s">
        <v>7</v>
      </c>
      <c r="C8" s="4" t="s">
        <v>510</v>
      </c>
    </row>
    <row r="9" spans="1:3" ht="12.75">
      <c r="A9" t="s">
        <v>9</v>
      </c>
      <c r="C9" s="7"/>
    </row>
    <row r="10" ht="12.75">
      <c r="C10" s="7"/>
    </row>
    <row r="11" spans="1:3" ht="12.75">
      <c r="A11" t="s">
        <v>11</v>
      </c>
      <c r="C11" s="7" t="s">
        <v>511</v>
      </c>
    </row>
    <row r="12" spans="1:3" ht="12.75">
      <c r="A12" s="1" t="s">
        <v>13</v>
      </c>
      <c r="B12" s="1"/>
      <c r="C12" s="83"/>
    </row>
    <row r="13" spans="1:3" ht="12.75">
      <c r="A13" s="1" t="s">
        <v>14</v>
      </c>
      <c r="B13" s="1"/>
      <c r="C13" s="83"/>
    </row>
    <row r="14" spans="1:3" ht="12.75">
      <c r="A14" s="1" t="s">
        <v>15</v>
      </c>
      <c r="B14" s="1" t="s">
        <v>16</v>
      </c>
      <c r="C14" s="83"/>
    </row>
    <row r="15" spans="1:3" ht="12.75">
      <c r="A15" s="1" t="s">
        <v>17</v>
      </c>
      <c r="B15" s="1" t="s">
        <v>231</v>
      </c>
      <c r="C15" s="83"/>
    </row>
    <row r="16" spans="1:3" ht="12.75">
      <c r="A16" s="1" t="s">
        <v>19</v>
      </c>
      <c r="B16" s="1" t="s">
        <v>20</v>
      </c>
      <c r="C16" s="83"/>
    </row>
    <row r="17" spans="1:3" ht="12.75">
      <c r="A17" s="1" t="s">
        <v>21</v>
      </c>
      <c r="B17" s="1" t="s">
        <v>22</v>
      </c>
      <c r="C17" s="83"/>
    </row>
    <row r="18" spans="1:3" ht="12.75">
      <c r="A18" s="157" t="s">
        <v>23</v>
      </c>
      <c r="B18" s="1" t="s">
        <v>24</v>
      </c>
      <c r="C18" s="83"/>
    </row>
    <row r="19" spans="1:3" ht="12.75">
      <c r="A19" s="1" t="s">
        <v>25</v>
      </c>
      <c r="B19" s="1" t="s">
        <v>26</v>
      </c>
      <c r="C19" s="83"/>
    </row>
    <row r="20" spans="1:3" ht="12.75">
      <c r="A20" s="1" t="s">
        <v>27</v>
      </c>
      <c r="B20" s="1" t="s">
        <v>28</v>
      </c>
      <c r="C20" s="83"/>
    </row>
    <row r="21" spans="1:3" ht="12.75">
      <c r="A21" s="1" t="s">
        <v>29</v>
      </c>
      <c r="B21" s="1"/>
      <c r="C21" s="83"/>
    </row>
    <row r="22" spans="1:3" ht="12.75">
      <c r="A22" s="1" t="s">
        <v>30</v>
      </c>
      <c r="B22" s="1" t="s">
        <v>31</v>
      </c>
      <c r="C22" s="83"/>
    </row>
    <row r="23" ht="12.75">
      <c r="C23" s="83"/>
    </row>
    <row r="24" spans="1:3" ht="12.75">
      <c r="A24" t="s">
        <v>32</v>
      </c>
      <c r="C24" s="71">
        <v>0.9115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933.7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933.7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3994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24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72.9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15">
        <v>934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1400.6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/>
      <c r="D36" s="16" t="s">
        <v>233</v>
      </c>
    </row>
    <row r="37" spans="1:4" ht="14.25" customHeight="1">
      <c r="A37" s="13" t="s">
        <v>56</v>
      </c>
      <c r="B37" s="17" t="s">
        <v>39</v>
      </c>
      <c r="C37" s="15"/>
      <c r="D37" s="16" t="s">
        <v>233</v>
      </c>
    </row>
    <row r="38" spans="1:4" ht="12.75">
      <c r="A38" s="13" t="s">
        <v>59</v>
      </c>
      <c r="B38" s="17" t="s">
        <v>39</v>
      </c>
      <c r="C38" s="15"/>
      <c r="D38" s="16" t="s">
        <v>233</v>
      </c>
    </row>
    <row r="39" spans="1:4" ht="14.25" customHeight="1">
      <c r="A39" s="13" t="s">
        <v>61</v>
      </c>
      <c r="B39" s="17" t="s">
        <v>39</v>
      </c>
      <c r="C39" s="15">
        <v>4100</v>
      </c>
      <c r="D39" s="16" t="s">
        <v>46</v>
      </c>
    </row>
    <row r="40" spans="1:4" ht="27" customHeight="1">
      <c r="A40" s="13" t="s">
        <v>62</v>
      </c>
      <c r="B40" s="17" t="s">
        <v>39</v>
      </c>
      <c r="C40" s="15">
        <v>934</v>
      </c>
      <c r="D40" s="16" t="s">
        <v>53</v>
      </c>
    </row>
    <row r="41" spans="1:4" ht="15" customHeight="1">
      <c r="A41" s="13" t="s">
        <v>63</v>
      </c>
      <c r="B41" s="17" t="s">
        <v>39</v>
      </c>
      <c r="C41" s="15"/>
      <c r="D41" s="16" t="s">
        <v>233</v>
      </c>
    </row>
    <row r="42" spans="1:4" ht="15" customHeight="1">
      <c r="A42" s="13" t="s">
        <v>64</v>
      </c>
      <c r="B42" s="17" t="s">
        <v>39</v>
      </c>
      <c r="C42" s="15"/>
      <c r="D42" s="16" t="s">
        <v>233</v>
      </c>
    </row>
    <row r="43" spans="1:4" ht="13.5" customHeight="1">
      <c r="A43" s="13" t="s">
        <v>65</v>
      </c>
      <c r="B43" s="17" t="s">
        <v>39</v>
      </c>
      <c r="C43" s="15"/>
      <c r="D43" s="16" t="s">
        <v>233</v>
      </c>
    </row>
    <row r="44" spans="1:4" ht="15.75" customHeight="1">
      <c r="A44" s="13" t="s">
        <v>66</v>
      </c>
      <c r="B44" s="17" t="s">
        <v>67</v>
      </c>
      <c r="C44" s="15"/>
      <c r="D44" s="16" t="s">
        <v>233</v>
      </c>
    </row>
    <row r="45" spans="1:4" ht="25.5" customHeight="1">
      <c r="A45" s="13" t="s">
        <v>68</v>
      </c>
      <c r="B45" s="17" t="s">
        <v>67</v>
      </c>
      <c r="C45" s="15"/>
      <c r="D45" s="16" t="s">
        <v>233</v>
      </c>
    </row>
    <row r="46" spans="1:4" ht="25.5" customHeight="1">
      <c r="A46" s="13" t="s">
        <v>70</v>
      </c>
      <c r="B46" s="17" t="s">
        <v>39</v>
      </c>
      <c r="C46" s="15"/>
      <c r="D46" s="16" t="s">
        <v>233</v>
      </c>
    </row>
    <row r="47" spans="1:4" ht="15" customHeight="1">
      <c r="A47" s="13" t="s">
        <v>72</v>
      </c>
      <c r="B47" s="17" t="s">
        <v>39</v>
      </c>
      <c r="C47" s="15"/>
      <c r="D47" s="16" t="s">
        <v>233</v>
      </c>
    </row>
    <row r="48" spans="1:4" ht="17.25" customHeight="1">
      <c r="A48" s="13" t="s">
        <v>73</v>
      </c>
      <c r="B48" s="17" t="s">
        <v>67</v>
      </c>
      <c r="C48" s="15"/>
      <c r="D48" s="16" t="s">
        <v>233</v>
      </c>
    </row>
    <row r="49" spans="1:4" ht="14.25" customHeight="1">
      <c r="A49" s="13" t="s">
        <v>74</v>
      </c>
      <c r="B49" s="17" t="s">
        <v>39</v>
      </c>
      <c r="C49" s="15">
        <v>2050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37.5" customHeight="1">
      <c r="A53" s="13" t="s">
        <v>78</v>
      </c>
      <c r="B53" s="24" t="s">
        <v>79</v>
      </c>
      <c r="C53" s="24"/>
      <c r="D53" s="13" t="s">
        <v>80</v>
      </c>
    </row>
    <row r="54" spans="1:4" ht="38.25" customHeight="1">
      <c r="A54" s="13" t="s">
        <v>81</v>
      </c>
      <c r="B54" s="24" t="s">
        <v>79</v>
      </c>
      <c r="C54" s="24"/>
      <c r="D54" s="13" t="s">
        <v>80</v>
      </c>
    </row>
    <row r="55" spans="1:4" ht="36.75" customHeight="1">
      <c r="A55" s="13" t="s">
        <v>82</v>
      </c>
      <c r="B55" s="24" t="s">
        <v>79</v>
      </c>
      <c r="C55" s="24"/>
      <c r="D55" s="13" t="s">
        <v>83</v>
      </c>
    </row>
    <row r="56" spans="1:4" ht="36.75" customHeight="1">
      <c r="A56" s="13" t="s">
        <v>84</v>
      </c>
      <c r="B56" s="24" t="s">
        <v>79</v>
      </c>
      <c r="C56" s="24"/>
      <c r="D56" s="13" t="s">
        <v>83</v>
      </c>
    </row>
    <row r="57" spans="1:4" ht="37.5" customHeight="1">
      <c r="A57" s="13" t="s">
        <v>85</v>
      </c>
      <c r="B57" s="24" t="s">
        <v>79</v>
      </c>
      <c r="C57" s="24"/>
      <c r="D57" s="13" t="s">
        <v>86</v>
      </c>
    </row>
    <row r="58" spans="1:4" ht="39.75" customHeight="1">
      <c r="A58" s="13" t="s">
        <v>87</v>
      </c>
      <c r="B58" s="24" t="s">
        <v>79</v>
      </c>
      <c r="C58" s="24"/>
      <c r="D58" s="13" t="s">
        <v>88</v>
      </c>
    </row>
    <row r="59" spans="1:4" ht="36.75" customHeight="1">
      <c r="A59" s="13" t="s">
        <v>89</v>
      </c>
      <c r="B59" s="24" t="s">
        <v>79</v>
      </c>
      <c r="C59" s="24"/>
      <c r="D59" s="13" t="s">
        <v>40</v>
      </c>
    </row>
    <row r="60" spans="1:4" ht="39" customHeight="1">
      <c r="A60" s="13" t="s">
        <v>90</v>
      </c>
      <c r="B60" s="24" t="s">
        <v>79</v>
      </c>
      <c r="C60" s="24"/>
      <c r="D60" s="13" t="s">
        <v>88</v>
      </c>
    </row>
    <row r="61" spans="1:4" ht="39.75" customHeight="1">
      <c r="A61" s="13" t="s">
        <v>91</v>
      </c>
      <c r="B61" s="24" t="s">
        <v>79</v>
      </c>
      <c r="C61" s="24"/>
      <c r="D61" s="13" t="s">
        <v>92</v>
      </c>
    </row>
    <row r="62" spans="1:4" ht="39.7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36" customHeight="1">
      <c r="A64" s="13" t="s">
        <v>96</v>
      </c>
      <c r="B64" s="24" t="s">
        <v>79</v>
      </c>
      <c r="C64" s="24"/>
      <c r="D64" s="13" t="s">
        <v>88</v>
      </c>
    </row>
    <row r="65" spans="1:4" ht="36" customHeight="1">
      <c r="A65" s="13" t="s">
        <v>97</v>
      </c>
      <c r="B65" s="24" t="s">
        <v>79</v>
      </c>
      <c r="C65" s="24"/>
      <c r="D65" s="13" t="s">
        <v>98</v>
      </c>
    </row>
    <row r="66" spans="1:4" ht="38.25" customHeight="1">
      <c r="A66" s="13" t="s">
        <v>99</v>
      </c>
      <c r="B66" s="24" t="s">
        <v>79</v>
      </c>
      <c r="C66" s="24"/>
      <c r="D66" s="13" t="s">
        <v>100</v>
      </c>
    </row>
    <row r="67" spans="1:4" ht="37.5" customHeight="1">
      <c r="A67" s="13" t="s">
        <v>101</v>
      </c>
      <c r="B67" s="24" t="s">
        <v>79</v>
      </c>
      <c r="C67" s="24"/>
      <c r="D67" s="13" t="s">
        <v>88</v>
      </c>
    </row>
    <row r="68" spans="1:4" ht="36.75" customHeight="1">
      <c r="A68" s="13" t="s">
        <v>102</v>
      </c>
      <c r="B68" s="24" t="s">
        <v>79</v>
      </c>
      <c r="C68" s="24"/>
      <c r="D68" s="13" t="s">
        <v>60</v>
      </c>
    </row>
    <row r="69" spans="1:4" ht="39" customHeight="1">
      <c r="A69" s="13" t="s">
        <v>103</v>
      </c>
      <c r="B69" s="24" t="s">
        <v>79</v>
      </c>
      <c r="C69" s="24"/>
      <c r="D69" s="13" t="s">
        <v>104</v>
      </c>
    </row>
    <row r="70" spans="1:4" ht="30" customHeight="1">
      <c r="A70" s="13" t="s">
        <v>105</v>
      </c>
      <c r="B70" s="24" t="s">
        <v>79</v>
      </c>
      <c r="C70" s="24"/>
      <c r="D70" s="13" t="s">
        <v>106</v>
      </c>
    </row>
    <row r="71" spans="1:4" ht="39" customHeight="1">
      <c r="A71" s="13" t="s">
        <v>107</v>
      </c>
      <c r="B71" s="24" t="s">
        <v>79</v>
      </c>
      <c r="C71" s="24"/>
      <c r="D71" s="13" t="s">
        <v>108</v>
      </c>
    </row>
    <row r="72" spans="1:4" ht="30.75" customHeight="1">
      <c r="A72" s="13" t="s">
        <v>89</v>
      </c>
      <c r="B72" s="24" t="s">
        <v>79</v>
      </c>
      <c r="C72" s="24"/>
      <c r="D72" s="13" t="s">
        <v>40</v>
      </c>
    </row>
    <row r="73" spans="1:4" ht="32.2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167" t="s">
        <v>110</v>
      </c>
      <c r="B74" s="167"/>
      <c r="C74" s="31"/>
      <c r="D74" s="168"/>
    </row>
    <row r="75" spans="1:4" ht="27.75" customHeight="1">
      <c r="A75" s="13" t="s">
        <v>111</v>
      </c>
      <c r="B75" s="14" t="s">
        <v>112</v>
      </c>
      <c r="C75" s="15">
        <f>339*1.15*12</f>
        <v>4678.2</v>
      </c>
      <c r="D75" s="74" t="s">
        <v>69</v>
      </c>
    </row>
    <row r="76" spans="1:7" ht="21" customHeight="1">
      <c r="A76" s="13" t="s">
        <v>113</v>
      </c>
      <c r="B76" s="33" t="s">
        <v>112</v>
      </c>
      <c r="C76" s="15">
        <f>0.75*5*2*51</f>
        <v>382.5</v>
      </c>
      <c r="D76" s="74" t="s">
        <v>114</v>
      </c>
      <c r="F76" s="94"/>
      <c r="G76" s="94"/>
    </row>
    <row r="77" spans="1:7" ht="24.75" customHeight="1">
      <c r="A77" s="13" t="s">
        <v>115</v>
      </c>
      <c r="B77" s="14" t="s">
        <v>67</v>
      </c>
      <c r="C77" s="15">
        <v>5</v>
      </c>
      <c r="D77" s="74" t="s">
        <v>116</v>
      </c>
      <c r="F77" s="159"/>
      <c r="G77" s="94"/>
    </row>
    <row r="78" spans="1:7" ht="12.75" customHeight="1">
      <c r="A78" s="169" t="s">
        <v>117</v>
      </c>
      <c r="B78" s="169"/>
      <c r="C78" s="29"/>
      <c r="D78" s="30"/>
      <c r="F78" s="94"/>
      <c r="G78" s="94"/>
    </row>
    <row r="79" spans="1:7" ht="12.75">
      <c r="A79" s="35" t="s">
        <v>118</v>
      </c>
      <c r="B79" s="36"/>
      <c r="C79" s="37"/>
      <c r="D79" s="38"/>
      <c r="F79" s="94"/>
      <c r="G79" s="94"/>
    </row>
    <row r="80" spans="1:7" ht="12.75">
      <c r="A80" s="39" t="s">
        <v>512</v>
      </c>
      <c r="B80" s="40" t="s">
        <v>39</v>
      </c>
      <c r="C80" s="41">
        <v>20</v>
      </c>
      <c r="D80" s="42"/>
      <c r="F80" s="94"/>
      <c r="G80" s="94"/>
    </row>
    <row r="81" spans="1:7" ht="12.75">
      <c r="A81" s="39" t="s">
        <v>513</v>
      </c>
      <c r="B81" s="40" t="s">
        <v>39</v>
      </c>
      <c r="C81" s="41">
        <v>4.5</v>
      </c>
      <c r="D81" s="42"/>
      <c r="F81" s="94"/>
      <c r="G81" s="94"/>
    </row>
    <row r="82" spans="1:7" s="1" customFormat="1" ht="12.75">
      <c r="A82" s="43" t="s">
        <v>385</v>
      </c>
      <c r="B82" s="41" t="s">
        <v>67</v>
      </c>
      <c r="C82" s="41">
        <v>13</v>
      </c>
      <c r="D82" s="170"/>
      <c r="F82" s="95"/>
      <c r="G82" s="95"/>
    </row>
    <row r="83" spans="1:7" ht="12.75">
      <c r="A83" s="39" t="s">
        <v>121</v>
      </c>
      <c r="B83" s="40" t="s">
        <v>122</v>
      </c>
      <c r="C83" s="40">
        <v>3</v>
      </c>
      <c r="D83" s="42"/>
      <c r="F83" s="94"/>
      <c r="G83" s="171"/>
    </row>
    <row r="84" spans="1:7" ht="12.75">
      <c r="A84" s="35" t="s">
        <v>235</v>
      </c>
      <c r="B84" s="36"/>
      <c r="C84" s="36"/>
      <c r="D84" s="45"/>
      <c r="F84" s="94"/>
      <c r="G84" s="94"/>
    </row>
    <row r="85" spans="1:7" ht="12.75">
      <c r="A85" s="39" t="s">
        <v>493</v>
      </c>
      <c r="B85" s="40" t="s">
        <v>67</v>
      </c>
      <c r="C85" s="40">
        <v>1</v>
      </c>
      <c r="D85" s="42"/>
      <c r="F85" s="94"/>
      <c r="G85" s="94"/>
    </row>
    <row r="86" spans="1:7" ht="12.75">
      <c r="A86" s="39" t="s">
        <v>514</v>
      </c>
      <c r="B86" s="40" t="s">
        <v>67</v>
      </c>
      <c r="C86" s="40">
        <f>1+1+5</f>
        <v>7</v>
      </c>
      <c r="D86" s="42"/>
      <c r="F86" s="94"/>
      <c r="G86" s="94"/>
    </row>
    <row r="87" spans="1:7" ht="12.75">
      <c r="A87" s="39" t="s">
        <v>253</v>
      </c>
      <c r="B87" s="40" t="s">
        <v>39</v>
      </c>
      <c r="C87" s="40">
        <f>12</f>
        <v>12</v>
      </c>
      <c r="D87" s="42"/>
      <c r="F87" s="94"/>
      <c r="G87" s="94"/>
    </row>
    <row r="88" spans="1:7" ht="12.75">
      <c r="A88" s="88" t="s">
        <v>386</v>
      </c>
      <c r="B88" s="40" t="s">
        <v>39</v>
      </c>
      <c r="C88" s="40">
        <v>8</v>
      </c>
      <c r="D88" s="42"/>
      <c r="F88" s="94"/>
      <c r="G88" s="94"/>
    </row>
    <row r="89" spans="1:7" s="1" customFormat="1" ht="12.75">
      <c r="A89" s="43" t="s">
        <v>515</v>
      </c>
      <c r="B89" s="41" t="s">
        <v>39</v>
      </c>
      <c r="C89" s="41">
        <f>8</f>
        <v>8</v>
      </c>
      <c r="D89" s="68"/>
      <c r="F89" s="95"/>
      <c r="G89" s="95"/>
    </row>
    <row r="90" spans="1:7" ht="12.75">
      <c r="A90" s="88" t="s">
        <v>516</v>
      </c>
      <c r="B90" s="40" t="s">
        <v>67</v>
      </c>
      <c r="C90" s="40">
        <f>1</f>
        <v>1</v>
      </c>
      <c r="D90" s="42"/>
      <c r="F90" s="94"/>
      <c r="G90" s="94"/>
    </row>
    <row r="91" spans="1:7" ht="12.75">
      <c r="A91" s="35" t="s">
        <v>467</v>
      </c>
      <c r="B91" s="36"/>
      <c r="C91" s="36"/>
      <c r="D91" s="45"/>
      <c r="F91" s="94"/>
      <c r="G91" s="94"/>
    </row>
    <row r="92" spans="1:7" ht="12.75">
      <c r="A92" s="43" t="s">
        <v>212</v>
      </c>
      <c r="B92" s="46" t="s">
        <v>67</v>
      </c>
      <c r="C92" s="41">
        <f>1</f>
        <v>1</v>
      </c>
      <c r="D92" s="42"/>
      <c r="F92" s="94"/>
      <c r="G92" s="94"/>
    </row>
    <row r="93" spans="1:7" ht="12.75">
      <c r="A93" s="172" t="s">
        <v>468</v>
      </c>
      <c r="B93" s="40" t="s">
        <v>67</v>
      </c>
      <c r="C93" s="41">
        <f>2+1+2</f>
        <v>5</v>
      </c>
      <c r="D93" s="42"/>
      <c r="F93" s="94"/>
      <c r="G93" s="94"/>
    </row>
    <row r="94" spans="1:7" ht="12.75">
      <c r="A94" s="43" t="s">
        <v>131</v>
      </c>
      <c r="B94" s="40" t="s">
        <v>67</v>
      </c>
      <c r="C94" s="41">
        <f>1+1+3</f>
        <v>5</v>
      </c>
      <c r="D94" s="42"/>
      <c r="F94" s="94"/>
      <c r="G94" s="94"/>
    </row>
    <row r="95" spans="1:7" ht="12.75">
      <c r="A95" s="43" t="s">
        <v>416</v>
      </c>
      <c r="B95" s="40" t="s">
        <v>67</v>
      </c>
      <c r="C95" s="41">
        <v>1</v>
      </c>
      <c r="D95" s="42"/>
      <c r="F95" s="94"/>
      <c r="G95" s="94"/>
    </row>
    <row r="96" spans="1:7" ht="12.75">
      <c r="A96" s="43" t="s">
        <v>470</v>
      </c>
      <c r="B96" s="46" t="s">
        <v>67</v>
      </c>
      <c r="C96" s="41">
        <f>2+2+1</f>
        <v>5</v>
      </c>
      <c r="D96" s="42"/>
      <c r="F96" s="173"/>
      <c r="G96" s="94"/>
    </row>
    <row r="97" spans="1:7" ht="12.75">
      <c r="A97" s="43" t="s">
        <v>188</v>
      </c>
      <c r="B97" s="46" t="s">
        <v>67</v>
      </c>
      <c r="C97" s="41">
        <f>2+3</f>
        <v>5</v>
      </c>
      <c r="D97" s="42"/>
      <c r="F97" s="94"/>
      <c r="G97" s="94"/>
    </row>
    <row r="98" spans="1:7" ht="12.75">
      <c r="A98" s="88" t="s">
        <v>268</v>
      </c>
      <c r="B98" s="40" t="s">
        <v>67</v>
      </c>
      <c r="C98" s="41">
        <v>5</v>
      </c>
      <c r="D98" s="42"/>
      <c r="F98" s="94"/>
      <c r="G98" s="94"/>
    </row>
    <row r="99" spans="1:7" ht="12.75">
      <c r="A99" s="35" t="s">
        <v>238</v>
      </c>
      <c r="B99" s="36"/>
      <c r="C99" s="36"/>
      <c r="D99" s="45"/>
      <c r="F99" s="94"/>
      <c r="G99" s="94"/>
    </row>
    <row r="100" spans="1:7" ht="12.75">
      <c r="A100" s="43" t="s">
        <v>475</v>
      </c>
      <c r="B100" s="40" t="s">
        <v>133</v>
      </c>
      <c r="C100" s="40">
        <f>24.9+7</f>
        <v>31.9</v>
      </c>
      <c r="D100" s="42"/>
      <c r="F100" s="94"/>
      <c r="G100" s="94"/>
    </row>
    <row r="101" spans="1:7" ht="12.75">
      <c r="A101" s="35" t="s">
        <v>213</v>
      </c>
      <c r="B101" s="36"/>
      <c r="C101" s="36"/>
      <c r="D101" s="45"/>
      <c r="F101" s="94"/>
      <c r="G101" s="94"/>
    </row>
    <row r="102" spans="1:7" ht="12.75">
      <c r="A102" s="80" t="s">
        <v>397</v>
      </c>
      <c r="B102" s="41" t="s">
        <v>39</v>
      </c>
      <c r="C102" s="41">
        <v>0.5</v>
      </c>
      <c r="D102" s="42"/>
      <c r="F102" s="94"/>
      <c r="G102" s="94"/>
    </row>
    <row r="103" spans="1:7" ht="12.75">
      <c r="A103" s="49" t="s">
        <v>141</v>
      </c>
      <c r="B103" s="36"/>
      <c r="C103" s="36"/>
      <c r="D103" s="45"/>
      <c r="F103" s="94"/>
      <c r="G103" s="94"/>
    </row>
    <row r="104" spans="1:7" ht="12.75">
      <c r="A104" s="51" t="s">
        <v>192</v>
      </c>
      <c r="B104" s="41" t="s">
        <v>67</v>
      </c>
      <c r="C104" s="41">
        <f>1+1</f>
        <v>2</v>
      </c>
      <c r="D104" s="42"/>
      <c r="F104" s="94"/>
      <c r="G104" s="94"/>
    </row>
    <row r="105" spans="1:7" ht="12.75">
      <c r="A105" s="51" t="s">
        <v>142</v>
      </c>
      <c r="B105" s="41" t="s">
        <v>67</v>
      </c>
      <c r="C105" s="41">
        <f>3</f>
        <v>3</v>
      </c>
      <c r="D105" s="42"/>
      <c r="F105" s="94"/>
      <c r="G105" s="94"/>
    </row>
    <row r="106" spans="1:7" ht="12.75">
      <c r="A106" s="39" t="s">
        <v>517</v>
      </c>
      <c r="B106" s="41" t="s">
        <v>67</v>
      </c>
      <c r="C106" s="41">
        <v>5</v>
      </c>
      <c r="D106" s="42"/>
      <c r="F106" s="94"/>
      <c r="G106" s="94"/>
    </row>
    <row r="107" spans="1:7" ht="12.75">
      <c r="A107" s="51" t="s">
        <v>143</v>
      </c>
      <c r="B107" s="40" t="s">
        <v>67</v>
      </c>
      <c r="C107" s="46">
        <v>6</v>
      </c>
      <c r="D107" s="42"/>
      <c r="F107" s="94"/>
      <c r="G107" s="94"/>
    </row>
    <row r="108" spans="1:7" ht="12.75">
      <c r="A108" s="49" t="s">
        <v>145</v>
      </c>
      <c r="B108" s="36"/>
      <c r="C108" s="36"/>
      <c r="D108" s="45"/>
      <c r="F108" s="94"/>
      <c r="G108" s="94"/>
    </row>
    <row r="109" spans="1:7" ht="12.75">
      <c r="A109" s="52" t="s">
        <v>194</v>
      </c>
      <c r="B109" s="41" t="s">
        <v>133</v>
      </c>
      <c r="C109" s="40">
        <f>2+6</f>
        <v>8</v>
      </c>
      <c r="D109" s="42"/>
      <c r="F109" s="94"/>
      <c r="G109" s="94"/>
    </row>
    <row r="110" spans="1:7" ht="12.75">
      <c r="A110" s="52" t="s">
        <v>518</v>
      </c>
      <c r="B110" s="40" t="s">
        <v>39</v>
      </c>
      <c r="C110" s="40">
        <f>2+2.8</f>
        <v>4.8</v>
      </c>
      <c r="D110" s="42"/>
      <c r="F110" s="94"/>
      <c r="G110" s="94"/>
    </row>
    <row r="111" spans="1:7" ht="12.75">
      <c r="A111" s="52" t="s">
        <v>501</v>
      </c>
      <c r="B111" s="41" t="s">
        <v>112</v>
      </c>
      <c r="C111" s="40">
        <f>3.5+0.5</f>
        <v>4</v>
      </c>
      <c r="D111" s="42"/>
      <c r="F111" s="94"/>
      <c r="G111" s="94"/>
    </row>
    <row r="112" spans="1:7" ht="12.75">
      <c r="A112" s="52" t="s">
        <v>149</v>
      </c>
      <c r="B112" s="40" t="s">
        <v>67</v>
      </c>
      <c r="C112" s="40">
        <v>5</v>
      </c>
      <c r="D112" s="42"/>
      <c r="F112" s="94"/>
      <c r="G112" s="94"/>
    </row>
    <row r="113" spans="1:7" ht="12.75">
      <c r="A113" s="52" t="s">
        <v>151</v>
      </c>
      <c r="B113" s="41" t="s">
        <v>39</v>
      </c>
      <c r="C113" s="40">
        <v>2600</v>
      </c>
      <c r="D113" s="47" t="s">
        <v>130</v>
      </c>
      <c r="F113" s="94"/>
      <c r="G113" s="94"/>
    </row>
    <row r="114" spans="1:7" ht="12.75">
      <c r="A114" s="52" t="s">
        <v>519</v>
      </c>
      <c r="B114" s="41" t="s">
        <v>67</v>
      </c>
      <c r="C114" s="40">
        <f>5+2</f>
        <v>7</v>
      </c>
      <c r="D114" s="42"/>
      <c r="F114" s="94"/>
      <c r="G114" s="94"/>
    </row>
    <row r="115" spans="1:7" ht="12.75">
      <c r="A115" s="52" t="s">
        <v>197</v>
      </c>
      <c r="B115" s="41" t="s">
        <v>67</v>
      </c>
      <c r="C115" s="40">
        <f>2</f>
        <v>2</v>
      </c>
      <c r="D115" s="42"/>
      <c r="F115" s="94"/>
      <c r="G115" s="94"/>
    </row>
    <row r="116" spans="1:7" ht="12.75">
      <c r="A116" s="52" t="s">
        <v>152</v>
      </c>
      <c r="B116" s="41" t="s">
        <v>133</v>
      </c>
      <c r="C116" s="40"/>
      <c r="D116" s="42"/>
      <c r="F116" s="94"/>
      <c r="G116" s="94"/>
    </row>
    <row r="117" spans="1:7" ht="12.75">
      <c r="A117" s="53" t="s">
        <v>153</v>
      </c>
      <c r="B117" s="41" t="s">
        <v>67</v>
      </c>
      <c r="C117" s="40">
        <f>21</f>
        <v>21</v>
      </c>
      <c r="D117" s="42"/>
      <c r="F117" s="94"/>
      <c r="G117" s="94"/>
    </row>
    <row r="118" spans="1:7" ht="12.75">
      <c r="A118" s="52" t="s">
        <v>318</v>
      </c>
      <c r="B118" s="41" t="s">
        <v>67</v>
      </c>
      <c r="C118" s="40">
        <f>2</f>
        <v>2</v>
      </c>
      <c r="D118" s="42"/>
      <c r="F118" s="94"/>
      <c r="G118" s="94"/>
    </row>
    <row r="119" spans="1:7" ht="12.75">
      <c r="A119" s="52" t="s">
        <v>154</v>
      </c>
      <c r="B119" s="41" t="s">
        <v>67</v>
      </c>
      <c r="C119" s="40">
        <v>5</v>
      </c>
      <c r="D119" s="42"/>
      <c r="F119" s="94"/>
      <c r="G119" s="94"/>
    </row>
    <row r="120" spans="1:7" ht="12.75">
      <c r="A120" s="49" t="s">
        <v>157</v>
      </c>
      <c r="B120" s="36"/>
      <c r="C120" s="36"/>
      <c r="D120" s="45"/>
      <c r="F120" s="94"/>
      <c r="G120" s="94"/>
    </row>
    <row r="121" spans="1:7" ht="12.75">
      <c r="A121" s="51" t="s">
        <v>158</v>
      </c>
      <c r="B121" s="40" t="s">
        <v>67</v>
      </c>
      <c r="C121" s="40">
        <f>10+3</f>
        <v>13</v>
      </c>
      <c r="D121" s="47" t="s">
        <v>186</v>
      </c>
      <c r="F121" s="94"/>
      <c r="G121" s="94"/>
    </row>
    <row r="122" spans="1:7" s="1" customFormat="1" ht="12.75">
      <c r="A122" s="51" t="s">
        <v>202</v>
      </c>
      <c r="B122" s="41" t="s">
        <v>39</v>
      </c>
      <c r="C122" s="41">
        <v>1180</v>
      </c>
      <c r="D122" s="47" t="s">
        <v>130</v>
      </c>
      <c r="F122" s="95"/>
      <c r="G122" s="95"/>
    </row>
    <row r="123" spans="1:7" ht="12.75">
      <c r="A123" s="51" t="s">
        <v>160</v>
      </c>
      <c r="B123" s="40" t="s">
        <v>67</v>
      </c>
      <c r="C123" s="40">
        <v>4</v>
      </c>
      <c r="D123" s="42"/>
      <c r="F123" s="94"/>
      <c r="G123" s="94"/>
    </row>
    <row r="124" spans="1:7" ht="12.75">
      <c r="A124" s="51" t="s">
        <v>247</v>
      </c>
      <c r="B124" s="40" t="s">
        <v>67</v>
      </c>
      <c r="C124" s="40">
        <v>5</v>
      </c>
      <c r="D124" s="42"/>
      <c r="F124" s="94"/>
      <c r="G124" s="94"/>
    </row>
    <row r="125" spans="1:7" ht="12.75">
      <c r="A125" s="49" t="s">
        <v>161</v>
      </c>
      <c r="B125" s="36"/>
      <c r="C125" s="36"/>
      <c r="D125" s="45"/>
      <c r="F125" s="94"/>
      <c r="G125" s="94"/>
    </row>
    <row r="126" spans="1:7" ht="12.75">
      <c r="A126" s="54" t="s">
        <v>162</v>
      </c>
      <c r="B126" s="56" t="s">
        <v>39</v>
      </c>
      <c r="C126" s="56">
        <v>2050</v>
      </c>
      <c r="D126" s="68" t="s">
        <v>44</v>
      </c>
      <c r="F126" s="94"/>
      <c r="G126" s="94"/>
    </row>
    <row r="127" spans="1:7" ht="12.75">
      <c r="A127" s="54" t="s">
        <v>163</v>
      </c>
      <c r="B127" s="56" t="s">
        <v>39</v>
      </c>
      <c r="C127" s="56">
        <v>2050</v>
      </c>
      <c r="D127" s="89" t="s">
        <v>164</v>
      </c>
      <c r="F127" s="94"/>
      <c r="G127" s="94"/>
    </row>
    <row r="128" spans="1:7" ht="12.75">
      <c r="A128" s="49" t="s">
        <v>165</v>
      </c>
      <c r="B128" s="38"/>
      <c r="C128" s="61"/>
      <c r="D128" s="62"/>
      <c r="F128" s="94"/>
      <c r="G128" s="94"/>
    </row>
    <row r="129" spans="1:7" ht="12.75">
      <c r="A129" s="54" t="s">
        <v>162</v>
      </c>
      <c r="B129" s="56" t="s">
        <v>39</v>
      </c>
      <c r="C129" s="56">
        <f>2050+134.4</f>
        <v>2184.4</v>
      </c>
      <c r="D129" s="68" t="s">
        <v>44</v>
      </c>
      <c r="F129" s="94"/>
      <c r="G129" s="94"/>
    </row>
    <row r="130" spans="1:7" ht="12.75">
      <c r="A130" s="54" t="s">
        <v>163</v>
      </c>
      <c r="B130" s="56" t="s">
        <v>39</v>
      </c>
      <c r="C130" s="56">
        <f>2050+134.4</f>
        <v>2184.4</v>
      </c>
      <c r="D130" s="89" t="s">
        <v>164</v>
      </c>
      <c r="F130" s="94"/>
      <c r="G130" s="94"/>
    </row>
    <row r="131" spans="1:7" ht="12.75">
      <c r="A131" s="174" t="s">
        <v>166</v>
      </c>
      <c r="B131" s="175"/>
      <c r="C131" s="176"/>
      <c r="D131" s="177"/>
      <c r="F131" s="94"/>
      <c r="G131" s="94"/>
    </row>
    <row r="132" spans="1:7" ht="12.75">
      <c r="A132" s="54" t="s">
        <v>162</v>
      </c>
      <c r="B132" s="56" t="s">
        <v>39</v>
      </c>
      <c r="C132" s="56">
        <f>2050+469.7+468.9</f>
        <v>2988.6</v>
      </c>
      <c r="D132" s="68" t="s">
        <v>175</v>
      </c>
      <c r="F132" s="94"/>
      <c r="G132" s="94"/>
    </row>
    <row r="133" spans="1:7" ht="12.75">
      <c r="A133" s="54" t="s">
        <v>163</v>
      </c>
      <c r="B133" s="56" t="s">
        <v>39</v>
      </c>
      <c r="C133" s="56">
        <f>2050+469.7+468.9</f>
        <v>2988.6</v>
      </c>
      <c r="D133" s="89" t="s">
        <v>164</v>
      </c>
      <c r="F133" s="94"/>
      <c r="G133" s="94"/>
    </row>
    <row r="134" spans="6:7" ht="12.75">
      <c r="F134" s="94"/>
      <c r="G134" s="94"/>
    </row>
    <row r="135" spans="6:7" ht="12.75">
      <c r="F135" s="94"/>
      <c r="G135" s="94"/>
    </row>
    <row r="136" spans="6:7" ht="12.75">
      <c r="F136" s="94"/>
      <c r="G136" s="94"/>
    </row>
    <row r="137" spans="6:7" ht="12.75">
      <c r="F137" s="94"/>
      <c r="G137" s="94"/>
    </row>
    <row r="138" spans="6:7" ht="12.75">
      <c r="F138" s="94"/>
      <c r="G138" s="94"/>
    </row>
    <row r="139" spans="6:7" ht="12.75">
      <c r="F139" s="94"/>
      <c r="G139" s="94"/>
    </row>
    <row r="140" spans="6:7" ht="12.75">
      <c r="F140" s="94"/>
      <c r="G140" s="94"/>
    </row>
    <row r="141" spans="6:7" ht="12.75">
      <c r="F141" s="94"/>
      <c r="G141" s="94"/>
    </row>
    <row r="142" spans="6:7" ht="12.75">
      <c r="F142" s="94"/>
      <c r="G142" s="94"/>
    </row>
    <row r="143" spans="6:7" ht="12.75">
      <c r="F143" s="94"/>
      <c r="G143" s="94"/>
    </row>
    <row r="144" spans="6:7" ht="12.75">
      <c r="F144" s="94"/>
      <c r="G144" s="94"/>
    </row>
    <row r="145" spans="6:7" ht="12.75">
      <c r="F145" s="94"/>
      <c r="G145" s="94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4"/>
  </sheetPr>
  <dimension ref="A1:H155"/>
  <sheetViews>
    <sheetView workbookViewId="0" topLeftCell="A130">
      <selection activeCell="A158" sqref="A158"/>
    </sheetView>
  </sheetViews>
  <sheetFormatPr defaultColWidth="9.00390625" defaultRowHeight="12.75"/>
  <cols>
    <col min="1" max="1" width="47.875" style="0" customWidth="1"/>
    <col min="2" max="2" width="9.75390625" style="0" customWidth="1"/>
    <col min="3" max="3" width="14.25390625" style="0" customWidth="1"/>
    <col min="4" max="4" width="23.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520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521</v>
      </c>
    </row>
    <row r="8" spans="1:3" ht="12.75">
      <c r="A8" t="s">
        <v>7</v>
      </c>
      <c r="C8" s="4" t="s">
        <v>522</v>
      </c>
    </row>
    <row r="9" spans="1:3" ht="12.75">
      <c r="A9" t="s">
        <v>9</v>
      </c>
      <c r="C9" s="7" t="s">
        <v>523</v>
      </c>
    </row>
    <row r="10" ht="12.75">
      <c r="C10" s="7"/>
    </row>
    <row r="11" spans="1:3" ht="12.75">
      <c r="A11" t="s">
        <v>11</v>
      </c>
      <c r="C11" s="7" t="s">
        <v>524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24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71">
        <v>0.881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663.7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663.7</v>
      </c>
      <c r="D30" s="16" t="s">
        <v>42</v>
      </c>
    </row>
    <row r="31" spans="1:4" ht="12.75">
      <c r="A31" s="13" t="s">
        <v>43</v>
      </c>
      <c r="B31" s="14" t="s">
        <v>39</v>
      </c>
      <c r="C31" s="123">
        <v>1183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146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438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73">
        <v>663.7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120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>
        <v>5</v>
      </c>
      <c r="D36" s="16" t="s">
        <v>55</v>
      </c>
    </row>
    <row r="37" spans="1:4" ht="27.75" customHeight="1">
      <c r="A37" s="13" t="s">
        <v>56</v>
      </c>
      <c r="B37" s="17" t="s">
        <v>39</v>
      </c>
      <c r="C37" s="15">
        <v>5</v>
      </c>
      <c r="D37" s="16" t="s">
        <v>57</v>
      </c>
    </row>
    <row r="38" spans="1:4" ht="27.75" customHeight="1">
      <c r="A38" s="13"/>
      <c r="B38" s="17" t="s">
        <v>39</v>
      </c>
      <c r="C38" s="15">
        <v>5</v>
      </c>
      <c r="D38" s="16" t="s">
        <v>58</v>
      </c>
    </row>
    <row r="39" spans="1:4" ht="12.75">
      <c r="A39" s="13" t="s">
        <v>59</v>
      </c>
      <c r="B39" s="17" t="s">
        <v>39</v>
      </c>
      <c r="C39" s="15">
        <v>45</v>
      </c>
      <c r="D39" s="16" t="s">
        <v>60</v>
      </c>
    </row>
    <row r="40" spans="1:4" ht="14.25" customHeight="1">
      <c r="A40" s="13" t="s">
        <v>61</v>
      </c>
      <c r="B40" s="17" t="s">
        <v>39</v>
      </c>
      <c r="C40" s="15">
        <v>1531.6</v>
      </c>
      <c r="D40" s="16" t="s">
        <v>46</v>
      </c>
    </row>
    <row r="41" spans="1:4" ht="27" customHeight="1">
      <c r="A41" s="13" t="s">
        <v>62</v>
      </c>
      <c r="B41" s="17" t="s">
        <v>39</v>
      </c>
      <c r="C41" s="73">
        <v>663.7</v>
      </c>
      <c r="D41" s="16" t="s">
        <v>53</v>
      </c>
    </row>
    <row r="42" spans="1:4" ht="15" customHeight="1">
      <c r="A42" s="13" t="s">
        <v>63</v>
      </c>
      <c r="B42" s="17" t="s">
        <v>39</v>
      </c>
      <c r="C42" s="15">
        <v>5</v>
      </c>
      <c r="D42" s="16" t="s">
        <v>44</v>
      </c>
    </row>
    <row r="43" spans="1:4" ht="15" customHeight="1">
      <c r="A43" s="13" t="s">
        <v>64</v>
      </c>
      <c r="B43" s="17" t="s">
        <v>39</v>
      </c>
      <c r="C43" s="15">
        <v>201</v>
      </c>
      <c r="D43" s="16" t="s">
        <v>44</v>
      </c>
    </row>
    <row r="44" spans="1:4" ht="31.5" customHeight="1">
      <c r="A44" s="13" t="s">
        <v>65</v>
      </c>
      <c r="B44" s="17" t="s">
        <v>39</v>
      </c>
      <c r="C44" s="15">
        <v>95</v>
      </c>
      <c r="D44" s="16" t="s">
        <v>53</v>
      </c>
    </row>
    <row r="45" spans="1:4" ht="15.75" customHeight="1">
      <c r="A45" s="13" t="s">
        <v>66</v>
      </c>
      <c r="B45" s="17" t="s">
        <v>67</v>
      </c>
      <c r="C45" s="15">
        <v>5</v>
      </c>
      <c r="D45" s="16" t="s">
        <v>60</v>
      </c>
    </row>
    <row r="46" spans="1:4" ht="33" customHeight="1">
      <c r="A46" s="13" t="s">
        <v>68</v>
      </c>
      <c r="B46" s="17" t="s">
        <v>67</v>
      </c>
      <c r="C46" s="15">
        <v>5</v>
      </c>
      <c r="D46" s="16" t="s">
        <v>69</v>
      </c>
    </row>
    <row r="47" spans="1:4" ht="17.25" customHeight="1">
      <c r="A47" s="13" t="s">
        <v>70</v>
      </c>
      <c r="B47" s="17" t="s">
        <v>39</v>
      </c>
      <c r="C47" s="15">
        <v>25</v>
      </c>
      <c r="D47" s="16" t="s">
        <v>71</v>
      </c>
    </row>
    <row r="48" spans="1:4" ht="26.25" customHeight="1">
      <c r="A48" s="13" t="s">
        <v>72</v>
      </c>
      <c r="B48" s="17" t="s">
        <v>39</v>
      </c>
      <c r="C48" s="15">
        <f>1*1.88*8*5</f>
        <v>75.19999999999999</v>
      </c>
      <c r="D48" s="16" t="s">
        <v>53</v>
      </c>
    </row>
    <row r="49" spans="1:4" ht="17.25" customHeight="1">
      <c r="A49" s="13" t="s">
        <v>73</v>
      </c>
      <c r="B49" s="17" t="s">
        <v>67</v>
      </c>
      <c r="C49" s="15">
        <v>5</v>
      </c>
      <c r="D49" s="16" t="s">
        <v>44</v>
      </c>
    </row>
    <row r="50" spans="1:4" ht="16.5" customHeight="1">
      <c r="A50" s="13" t="s">
        <v>74</v>
      </c>
      <c r="B50" s="17" t="s">
        <v>39</v>
      </c>
      <c r="C50" s="15">
        <v>1442.6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7.7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31.5" customHeight="1">
      <c r="A56" s="13" t="s">
        <v>82</v>
      </c>
      <c r="B56" s="24" t="s">
        <v>79</v>
      </c>
      <c r="C56" s="24"/>
      <c r="D56" s="13" t="s">
        <v>83</v>
      </c>
    </row>
    <row r="57" spans="1:4" ht="30.75" customHeight="1">
      <c r="A57" s="13" t="s">
        <v>84</v>
      </c>
      <c r="B57" s="24" t="s">
        <v>79</v>
      </c>
      <c r="C57" s="24"/>
      <c r="D57" s="13" t="s">
        <v>83</v>
      </c>
    </row>
    <row r="58" spans="1:4" ht="30.75" customHeight="1">
      <c r="A58" s="13" t="s">
        <v>85</v>
      </c>
      <c r="B58" s="24" t="s">
        <v>79</v>
      </c>
      <c r="C58" s="24"/>
      <c r="D58" s="13" t="s">
        <v>86</v>
      </c>
    </row>
    <row r="59" spans="1:4" ht="25.5" customHeight="1">
      <c r="A59" s="13" t="s">
        <v>87</v>
      </c>
      <c r="B59" s="24" t="s">
        <v>79</v>
      </c>
      <c r="C59" s="24"/>
      <c r="D59" s="13" t="s">
        <v>88</v>
      </c>
    </row>
    <row r="60" spans="1:4" ht="28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8.5" customHeight="1">
      <c r="A62" s="13" t="s">
        <v>91</v>
      </c>
      <c r="B62" s="24" t="s">
        <v>79</v>
      </c>
      <c r="C62" s="24"/>
      <c r="D62" s="13" t="s">
        <v>92</v>
      </c>
    </row>
    <row r="63" spans="1:4" ht="25.5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7" customHeight="1">
      <c r="A65" s="13" t="s">
        <v>96</v>
      </c>
      <c r="B65" s="24" t="s">
        <v>79</v>
      </c>
      <c r="C65" s="24"/>
      <c r="D65" s="13" t="s">
        <v>88</v>
      </c>
    </row>
    <row r="66" spans="1:4" ht="30.75" customHeight="1">
      <c r="A66" s="13" t="s">
        <v>97</v>
      </c>
      <c r="B66" s="24" t="s">
        <v>79</v>
      </c>
      <c r="C66" s="24"/>
      <c r="D66" s="13" t="s">
        <v>98</v>
      </c>
    </row>
    <row r="67" spans="1:4" ht="27.75" customHeight="1">
      <c r="A67" s="13" t="s">
        <v>99</v>
      </c>
      <c r="B67" s="24" t="s">
        <v>79</v>
      </c>
      <c r="C67" s="24"/>
      <c r="D67" s="13" t="s">
        <v>100</v>
      </c>
    </row>
    <row r="68" spans="1:4" ht="24" customHeight="1">
      <c r="A68" s="13" t="s">
        <v>101</v>
      </c>
      <c r="B68" s="24" t="s">
        <v>79</v>
      </c>
      <c r="C68" s="24"/>
      <c r="D68" s="13" t="s">
        <v>88</v>
      </c>
    </row>
    <row r="69" spans="1:4" ht="25.5" customHeight="1">
      <c r="A69" s="13" t="s">
        <v>102</v>
      </c>
      <c r="B69" s="24" t="s">
        <v>79</v>
      </c>
      <c r="C69" s="24"/>
      <c r="D69" s="13" t="s">
        <v>60</v>
      </c>
    </row>
    <row r="70" spans="1:4" ht="24.75" customHeight="1">
      <c r="A70" s="13" t="s">
        <v>103</v>
      </c>
      <c r="B70" s="24" t="s">
        <v>79</v>
      </c>
      <c r="C70" s="24"/>
      <c r="D70" s="13" t="s">
        <v>104</v>
      </c>
    </row>
    <row r="71" spans="1:4" ht="27.7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9.25" customHeight="1">
      <c r="A73" s="13" t="s">
        <v>89</v>
      </c>
      <c r="B73" s="24" t="s">
        <v>79</v>
      </c>
      <c r="C73" s="24"/>
      <c r="D73" s="13" t="s">
        <v>40</v>
      </c>
    </row>
    <row r="74" spans="1:4" ht="27.7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8" ht="27.75" customHeight="1">
      <c r="A76" s="13" t="s">
        <v>111</v>
      </c>
      <c r="B76" s="14" t="s">
        <v>112</v>
      </c>
      <c r="C76" s="15">
        <f>551*1.15*12</f>
        <v>7603.799999999999</v>
      </c>
      <c r="D76" s="74" t="s">
        <v>69</v>
      </c>
      <c r="F76" s="94"/>
      <c r="G76" s="94"/>
      <c r="H76" s="94"/>
    </row>
    <row r="77" spans="1:8" ht="17.25" customHeight="1">
      <c r="A77" s="13" t="s">
        <v>113</v>
      </c>
      <c r="B77" s="33" t="s">
        <v>112</v>
      </c>
      <c r="C77" s="15">
        <f>0.75*5*2*51</f>
        <v>382.5</v>
      </c>
      <c r="D77" s="74" t="s">
        <v>114</v>
      </c>
      <c r="F77" s="94"/>
      <c r="G77" s="94"/>
      <c r="H77" s="94"/>
    </row>
    <row r="78" spans="1:8" ht="24.75" customHeight="1">
      <c r="A78" s="13" t="s">
        <v>115</v>
      </c>
      <c r="B78" s="14" t="s">
        <v>67</v>
      </c>
      <c r="C78" s="15">
        <v>5</v>
      </c>
      <c r="D78" s="74" t="s">
        <v>116</v>
      </c>
      <c r="F78" s="159"/>
      <c r="G78" s="94"/>
      <c r="H78" s="94"/>
    </row>
    <row r="79" spans="1:8" ht="12.75" customHeight="1">
      <c r="A79" s="28" t="s">
        <v>117</v>
      </c>
      <c r="B79" s="28"/>
      <c r="C79" s="168"/>
      <c r="D79" s="30"/>
      <c r="F79" s="94"/>
      <c r="G79" s="94"/>
      <c r="H79" s="94"/>
    </row>
    <row r="80" spans="1:8" ht="12.75">
      <c r="A80" s="35" t="s">
        <v>118</v>
      </c>
      <c r="B80" s="36"/>
      <c r="C80" s="38"/>
      <c r="D80" s="38"/>
      <c r="F80" s="94"/>
      <c r="G80" s="94"/>
      <c r="H80" s="94"/>
    </row>
    <row r="81" spans="1:8" ht="12.75">
      <c r="A81" s="39" t="s">
        <v>119</v>
      </c>
      <c r="B81" s="40" t="s">
        <v>39</v>
      </c>
      <c r="C81" s="41">
        <f>7.7+25+15+10+24.6+7.5+4.2+16.5</f>
        <v>110.50000000000001</v>
      </c>
      <c r="D81" s="42"/>
      <c r="F81" s="94"/>
      <c r="G81" s="94"/>
      <c r="H81" s="94"/>
    </row>
    <row r="82" spans="1:8" ht="12.75">
      <c r="A82" s="39" t="s">
        <v>525</v>
      </c>
      <c r="B82" s="40" t="s">
        <v>67</v>
      </c>
      <c r="C82" s="41">
        <v>1</v>
      </c>
      <c r="D82" s="42"/>
      <c r="F82" s="94"/>
      <c r="G82" s="94"/>
      <c r="H82" s="94"/>
    </row>
    <row r="83" spans="1:8" ht="12.75">
      <c r="A83" s="39" t="s">
        <v>263</v>
      </c>
      <c r="B83" s="40" t="s">
        <v>39</v>
      </c>
      <c r="C83" s="41">
        <f>10+4.5+4.5</f>
        <v>19</v>
      </c>
      <c r="D83" s="42"/>
      <c r="F83" s="94"/>
      <c r="G83" s="94"/>
      <c r="H83" s="94"/>
    </row>
    <row r="84" spans="1:8" ht="12.75">
      <c r="A84" s="39" t="s">
        <v>120</v>
      </c>
      <c r="B84" s="40" t="s">
        <v>67</v>
      </c>
      <c r="C84" s="41">
        <f>5+2</f>
        <v>7</v>
      </c>
      <c r="D84" s="42"/>
      <c r="F84" s="94"/>
      <c r="G84" s="94"/>
      <c r="H84" s="94"/>
    </row>
    <row r="85" spans="1:8" ht="12.75">
      <c r="A85" s="39" t="s">
        <v>526</v>
      </c>
      <c r="B85" s="40" t="s">
        <v>39</v>
      </c>
      <c r="C85" s="41">
        <f>3.9+12.6</f>
        <v>16.5</v>
      </c>
      <c r="D85" s="42"/>
      <c r="F85" s="94"/>
      <c r="G85" s="94"/>
      <c r="H85" s="94"/>
    </row>
    <row r="86" spans="1:8" ht="12.75">
      <c r="A86" s="39" t="s">
        <v>527</v>
      </c>
      <c r="B86" s="40" t="s">
        <v>67</v>
      </c>
      <c r="C86" s="41">
        <v>1</v>
      </c>
      <c r="D86" s="42"/>
      <c r="F86" s="94"/>
      <c r="G86" s="94"/>
      <c r="H86" s="94"/>
    </row>
    <row r="87" spans="1:4" ht="12.75">
      <c r="A87" s="35" t="s">
        <v>124</v>
      </c>
      <c r="B87" s="36"/>
      <c r="C87" s="36"/>
      <c r="D87" s="45"/>
    </row>
    <row r="88" spans="1:4" ht="25.5">
      <c r="A88" s="39" t="s">
        <v>528</v>
      </c>
      <c r="B88" s="40" t="s">
        <v>39</v>
      </c>
      <c r="C88" s="40">
        <v>4</v>
      </c>
      <c r="D88" s="42"/>
    </row>
    <row r="89" spans="1:4" ht="12.75">
      <c r="A89" s="43" t="s">
        <v>529</v>
      </c>
      <c r="B89" s="41" t="s">
        <v>67</v>
      </c>
      <c r="C89" s="40">
        <v>1</v>
      </c>
      <c r="D89" s="42"/>
    </row>
    <row r="90" spans="1:4" ht="12.75">
      <c r="A90" s="43" t="s">
        <v>466</v>
      </c>
      <c r="B90" s="41" t="s">
        <v>122</v>
      </c>
      <c r="C90" s="40">
        <f>1+1</f>
        <v>2</v>
      </c>
      <c r="D90" s="42"/>
    </row>
    <row r="91" spans="1:4" ht="12.75">
      <c r="A91" s="43" t="s">
        <v>530</v>
      </c>
      <c r="B91" s="41" t="s">
        <v>67</v>
      </c>
      <c r="C91" s="40">
        <f>1</f>
        <v>1</v>
      </c>
      <c r="D91" s="42"/>
    </row>
    <row r="92" spans="1:4" ht="12.75">
      <c r="A92" s="35" t="s">
        <v>467</v>
      </c>
      <c r="B92" s="36"/>
      <c r="C92" s="36"/>
      <c r="D92" s="45"/>
    </row>
    <row r="93" spans="1:4" ht="12.75">
      <c r="A93" s="43" t="s">
        <v>127</v>
      </c>
      <c r="B93" s="46" t="s">
        <v>67</v>
      </c>
      <c r="C93" s="41">
        <f>1+6+5+4+4+5+1+3+4+2+1+2</f>
        <v>38</v>
      </c>
      <c r="D93" s="42"/>
    </row>
    <row r="94" spans="1:4" ht="12.75">
      <c r="A94" s="43" t="s">
        <v>185</v>
      </c>
      <c r="B94" s="46" t="s">
        <v>67</v>
      </c>
      <c r="C94" s="41">
        <f>1+2</f>
        <v>3</v>
      </c>
      <c r="D94" s="42"/>
    </row>
    <row r="95" spans="1:4" ht="12.75">
      <c r="A95" s="43" t="s">
        <v>128</v>
      </c>
      <c r="B95" s="46" t="s">
        <v>67</v>
      </c>
      <c r="C95" s="41">
        <f>1+1+1+1</f>
        <v>4</v>
      </c>
      <c r="D95" s="42"/>
    </row>
    <row r="96" spans="1:4" ht="12.75">
      <c r="A96" s="43" t="s">
        <v>468</v>
      </c>
      <c r="B96" s="40" t="s">
        <v>67</v>
      </c>
      <c r="C96" s="41">
        <f>10+1+1</f>
        <v>12</v>
      </c>
      <c r="D96" s="42"/>
    </row>
    <row r="97" spans="1:4" ht="12.75">
      <c r="A97" s="43" t="s">
        <v>131</v>
      </c>
      <c r="B97" s="40" t="s">
        <v>67</v>
      </c>
      <c r="C97" s="41">
        <f>1+4+1</f>
        <v>6</v>
      </c>
      <c r="D97" s="42"/>
    </row>
    <row r="98" spans="1:4" ht="12.75">
      <c r="A98" s="43" t="s">
        <v>470</v>
      </c>
      <c r="B98" s="46" t="s">
        <v>67</v>
      </c>
      <c r="C98" s="41">
        <f>10+2+1+1</f>
        <v>14</v>
      </c>
      <c r="D98" s="42"/>
    </row>
    <row r="99" spans="1:4" ht="12.75">
      <c r="A99" s="43" t="s">
        <v>188</v>
      </c>
      <c r="B99" s="46" t="s">
        <v>67</v>
      </c>
      <c r="C99" s="41">
        <f>2+2</f>
        <v>4</v>
      </c>
      <c r="D99" s="42"/>
    </row>
    <row r="100" spans="1:4" ht="12.75">
      <c r="A100" s="43" t="s">
        <v>189</v>
      </c>
      <c r="B100" s="40" t="s">
        <v>133</v>
      </c>
      <c r="C100" s="41">
        <f>12+3+3+6+18</f>
        <v>42</v>
      </c>
      <c r="D100" s="42"/>
    </row>
    <row r="101" spans="1:4" ht="12.75">
      <c r="A101" s="43" t="s">
        <v>132</v>
      </c>
      <c r="B101" s="40" t="s">
        <v>133</v>
      </c>
      <c r="C101" s="41">
        <f>3+12</f>
        <v>15</v>
      </c>
      <c r="D101" s="42"/>
    </row>
    <row r="102" spans="1:4" ht="12.75">
      <c r="A102" s="43" t="s">
        <v>190</v>
      </c>
      <c r="B102" s="40" t="s">
        <v>67</v>
      </c>
      <c r="C102" s="41">
        <f>2+2+8+4+2</f>
        <v>18</v>
      </c>
      <c r="D102" s="42"/>
    </row>
    <row r="103" spans="1:4" ht="12.75">
      <c r="A103" s="43" t="s">
        <v>134</v>
      </c>
      <c r="B103" s="40" t="s">
        <v>39</v>
      </c>
      <c r="C103" s="41">
        <f>1.4+0.2+1+1.4+1.4+0.7+1+0.7+0.7+2.1</f>
        <v>10.6</v>
      </c>
      <c r="D103" s="42"/>
    </row>
    <row r="104" spans="1:4" ht="12.75">
      <c r="A104" s="43" t="s">
        <v>277</v>
      </c>
      <c r="B104" s="40" t="s">
        <v>67</v>
      </c>
      <c r="C104" s="41">
        <f>7+6+3+4</f>
        <v>20</v>
      </c>
      <c r="D104" s="42"/>
    </row>
    <row r="105" spans="1:4" ht="12.75">
      <c r="A105" s="43" t="s">
        <v>531</v>
      </c>
      <c r="B105" s="40" t="s">
        <v>67</v>
      </c>
      <c r="C105" s="41">
        <f>2+4</f>
        <v>6</v>
      </c>
      <c r="D105" s="42"/>
    </row>
    <row r="106" spans="1:4" ht="12.75">
      <c r="A106" s="43" t="s">
        <v>497</v>
      </c>
      <c r="B106" s="40" t="s">
        <v>67</v>
      </c>
      <c r="C106" s="41">
        <f>4</f>
        <v>4</v>
      </c>
      <c r="D106" s="42"/>
    </row>
    <row r="107" spans="1:6" ht="12.75">
      <c r="A107" s="43" t="s">
        <v>346</v>
      </c>
      <c r="B107" s="40" t="s">
        <v>122</v>
      </c>
      <c r="C107" s="40">
        <f>1+1+2+1+1+1+2</f>
        <v>9</v>
      </c>
      <c r="D107" s="42"/>
      <c r="F107" s="97"/>
    </row>
    <row r="108" spans="1:4" ht="12.75">
      <c r="A108" s="43" t="s">
        <v>474</v>
      </c>
      <c r="B108" s="40" t="s">
        <v>39</v>
      </c>
      <c r="C108" s="40">
        <f>0.1+0.1+0.1+0.1+0.5+0.3+0.2</f>
        <v>1.4</v>
      </c>
      <c r="D108" s="42"/>
    </row>
    <row r="109" spans="1:4" ht="12.75">
      <c r="A109" s="88" t="s">
        <v>267</v>
      </c>
      <c r="B109" s="40" t="s">
        <v>122</v>
      </c>
      <c r="C109" s="40">
        <f>2</f>
        <v>2</v>
      </c>
      <c r="D109" s="42"/>
    </row>
    <row r="110" spans="1:4" ht="12.75">
      <c r="A110" s="35" t="s">
        <v>238</v>
      </c>
      <c r="B110" s="36"/>
      <c r="C110" s="36"/>
      <c r="D110" s="45"/>
    </row>
    <row r="111" spans="1:4" s="1" customFormat="1" ht="12.75">
      <c r="A111" s="43" t="s">
        <v>475</v>
      </c>
      <c r="B111" s="40" t="s">
        <v>133</v>
      </c>
      <c r="C111" s="40">
        <v>18.2</v>
      </c>
      <c r="D111" s="81"/>
    </row>
    <row r="112" spans="1:4" ht="12.75">
      <c r="A112" s="35" t="s">
        <v>137</v>
      </c>
      <c r="B112" s="48"/>
      <c r="C112" s="36"/>
      <c r="D112" s="45"/>
    </row>
    <row r="113" spans="1:4" ht="12.75">
      <c r="A113" s="39" t="s">
        <v>125</v>
      </c>
      <c r="B113" s="40" t="s">
        <v>67</v>
      </c>
      <c r="C113" s="41">
        <v>5</v>
      </c>
      <c r="D113" s="68" t="s">
        <v>130</v>
      </c>
    </row>
    <row r="114" spans="1:4" ht="12.75">
      <c r="A114" s="39" t="s">
        <v>142</v>
      </c>
      <c r="B114" s="40" t="s">
        <v>122</v>
      </c>
      <c r="C114" s="41">
        <f>1</f>
        <v>1</v>
      </c>
      <c r="D114" s="42"/>
    </row>
    <row r="115" spans="1:4" ht="12.75">
      <c r="A115" s="35" t="s">
        <v>213</v>
      </c>
      <c r="B115" s="36"/>
      <c r="C115" s="36"/>
      <c r="D115" s="45"/>
    </row>
    <row r="116" spans="1:4" ht="12.75">
      <c r="A116" s="43" t="s">
        <v>184</v>
      </c>
      <c r="B116" s="41" t="s">
        <v>39</v>
      </c>
      <c r="C116" s="41">
        <f>8+4.5</f>
        <v>12.5</v>
      </c>
      <c r="D116" s="42"/>
    </row>
    <row r="117" spans="1:4" ht="12.75">
      <c r="A117" s="80" t="s">
        <v>397</v>
      </c>
      <c r="B117" s="41" t="s">
        <v>39</v>
      </c>
      <c r="C117" s="41">
        <v>0.3</v>
      </c>
      <c r="D117" s="42"/>
    </row>
    <row r="118" spans="1:4" ht="12.75">
      <c r="A118" s="80" t="s">
        <v>532</v>
      </c>
      <c r="B118" s="41" t="s">
        <v>39</v>
      </c>
      <c r="C118" s="41">
        <v>3.5</v>
      </c>
      <c r="D118" s="42"/>
    </row>
    <row r="119" spans="1:4" ht="12.75">
      <c r="A119" s="49" t="s">
        <v>141</v>
      </c>
      <c r="B119" s="36"/>
      <c r="C119" s="36"/>
      <c r="D119" s="45"/>
    </row>
    <row r="120" spans="1:4" ht="12.75">
      <c r="A120" s="52" t="s">
        <v>256</v>
      </c>
      <c r="B120" s="40" t="s">
        <v>133</v>
      </c>
      <c r="C120" s="41">
        <v>8</v>
      </c>
      <c r="D120" s="42"/>
    </row>
    <row r="121" spans="1:4" ht="12.75">
      <c r="A121" s="51" t="s">
        <v>348</v>
      </c>
      <c r="B121" s="41" t="s">
        <v>133</v>
      </c>
      <c r="C121" s="41">
        <v>2</v>
      </c>
      <c r="D121" s="42"/>
    </row>
    <row r="122" spans="1:4" ht="12.75">
      <c r="A122" s="51" t="s">
        <v>216</v>
      </c>
      <c r="B122" s="41" t="s">
        <v>67</v>
      </c>
      <c r="C122" s="41">
        <f>1+1+2+1+1+2+1+1+1+1</f>
        <v>12</v>
      </c>
      <c r="D122" s="42"/>
    </row>
    <row r="123" spans="1:4" ht="12.75">
      <c r="A123" s="51" t="s">
        <v>217</v>
      </c>
      <c r="B123" s="41" t="s">
        <v>67</v>
      </c>
      <c r="C123" s="41">
        <f>1+1+1</f>
        <v>3</v>
      </c>
      <c r="D123" s="42"/>
    </row>
    <row r="124" spans="1:4" ht="12.75">
      <c r="A124" s="51" t="s">
        <v>143</v>
      </c>
      <c r="B124" s="40" t="s">
        <v>67</v>
      </c>
      <c r="C124" s="46">
        <v>2</v>
      </c>
      <c r="D124" s="42"/>
    </row>
    <row r="125" spans="1:4" ht="12.75">
      <c r="A125" s="51" t="s">
        <v>144</v>
      </c>
      <c r="B125" s="40" t="s">
        <v>67</v>
      </c>
      <c r="C125" s="46">
        <f>1</f>
        <v>1</v>
      </c>
      <c r="D125" s="42"/>
    </row>
    <row r="126" spans="1:4" s="1" customFormat="1" ht="12.75">
      <c r="A126" s="80" t="s">
        <v>377</v>
      </c>
      <c r="B126" s="41" t="s">
        <v>67</v>
      </c>
      <c r="C126" s="118">
        <v>2</v>
      </c>
      <c r="D126" s="68" t="s">
        <v>290</v>
      </c>
    </row>
    <row r="127" spans="1:4" ht="12.75">
      <c r="A127" s="49" t="s">
        <v>145</v>
      </c>
      <c r="B127" s="36"/>
      <c r="C127" s="36"/>
      <c r="D127" s="45"/>
    </row>
    <row r="128" spans="1:4" ht="12.75">
      <c r="A128" s="52" t="s">
        <v>222</v>
      </c>
      <c r="B128" s="41" t="s">
        <v>112</v>
      </c>
      <c r="C128" s="40">
        <v>28</v>
      </c>
      <c r="D128" s="42"/>
    </row>
    <row r="129" spans="1:4" ht="12.75">
      <c r="A129" s="52" t="s">
        <v>533</v>
      </c>
      <c r="B129" s="41" t="s">
        <v>112</v>
      </c>
      <c r="C129" s="40">
        <v>3.5</v>
      </c>
      <c r="D129" s="42"/>
    </row>
    <row r="130" spans="1:4" ht="12.75">
      <c r="A130" s="52" t="s">
        <v>149</v>
      </c>
      <c r="B130" s="40" t="s">
        <v>67</v>
      </c>
      <c r="C130" s="40">
        <v>5</v>
      </c>
      <c r="D130" s="42"/>
    </row>
    <row r="131" spans="1:4" ht="12.75">
      <c r="A131" s="52" t="s">
        <v>196</v>
      </c>
      <c r="B131" s="41" t="s">
        <v>67</v>
      </c>
      <c r="C131" s="40">
        <f>24+6</f>
        <v>30</v>
      </c>
      <c r="D131" s="42"/>
    </row>
    <row r="132" spans="1:4" ht="12.75">
      <c r="A132" s="52" t="s">
        <v>151</v>
      </c>
      <c r="B132" s="41" t="s">
        <v>39</v>
      </c>
      <c r="C132" s="40">
        <f>575</f>
        <v>575</v>
      </c>
      <c r="D132" s="68" t="s">
        <v>130</v>
      </c>
    </row>
    <row r="133" spans="1:4" ht="12.75">
      <c r="A133" s="52" t="s">
        <v>197</v>
      </c>
      <c r="B133" s="41" t="s">
        <v>67</v>
      </c>
      <c r="C133" s="40">
        <f>3</f>
        <v>3</v>
      </c>
      <c r="D133" s="42"/>
    </row>
    <row r="134" spans="1:4" ht="12.75">
      <c r="A134" s="52" t="s">
        <v>152</v>
      </c>
      <c r="B134" s="41" t="s">
        <v>133</v>
      </c>
      <c r="C134" s="40"/>
      <c r="D134" s="42"/>
    </row>
    <row r="135" spans="1:4" ht="12.75">
      <c r="A135" s="53" t="s">
        <v>153</v>
      </c>
      <c r="B135" s="41" t="s">
        <v>67</v>
      </c>
      <c r="C135" s="40">
        <f>46</f>
        <v>46</v>
      </c>
      <c r="D135" s="42"/>
    </row>
    <row r="136" spans="1:4" ht="12.75">
      <c r="A136" s="52" t="s">
        <v>318</v>
      </c>
      <c r="B136" s="41" t="s">
        <v>67</v>
      </c>
      <c r="C136" s="40">
        <f>1</f>
        <v>1</v>
      </c>
      <c r="D136" s="42"/>
    </row>
    <row r="137" spans="1:4" ht="12.75">
      <c r="A137" s="52" t="s">
        <v>154</v>
      </c>
      <c r="B137" s="41" t="s">
        <v>67</v>
      </c>
      <c r="C137" s="40">
        <v>4</v>
      </c>
      <c r="D137" s="42"/>
    </row>
    <row r="138" spans="1:4" ht="12.75">
      <c r="A138" s="51" t="s">
        <v>200</v>
      </c>
      <c r="B138" s="40" t="s">
        <v>67</v>
      </c>
      <c r="C138" s="40">
        <v>4</v>
      </c>
      <c r="D138" s="42"/>
    </row>
    <row r="139" spans="1:4" ht="12.75">
      <c r="A139" s="49" t="s">
        <v>157</v>
      </c>
      <c r="B139" s="36"/>
      <c r="C139" s="36"/>
      <c r="D139" s="45"/>
    </row>
    <row r="140" spans="1:4" s="1" customFormat="1" ht="12.75">
      <c r="A140" s="80" t="s">
        <v>158</v>
      </c>
      <c r="B140" s="41" t="s">
        <v>67</v>
      </c>
      <c r="C140" s="41">
        <v>10</v>
      </c>
      <c r="D140" s="68" t="s">
        <v>130</v>
      </c>
    </row>
    <row r="141" spans="1:4" s="1" customFormat="1" ht="12.75">
      <c r="A141" s="80" t="s">
        <v>202</v>
      </c>
      <c r="B141" s="41" t="s">
        <v>39</v>
      </c>
      <c r="C141" s="41">
        <v>360</v>
      </c>
      <c r="D141" s="68" t="s">
        <v>130</v>
      </c>
    </row>
    <row r="142" spans="1:4" s="1" customFormat="1" ht="12.75">
      <c r="A142" s="51" t="s">
        <v>247</v>
      </c>
      <c r="B142" s="40" t="s">
        <v>67</v>
      </c>
      <c r="C142" s="40">
        <v>5</v>
      </c>
      <c r="D142" s="81"/>
    </row>
    <row r="143" spans="1:4" ht="12.75">
      <c r="A143" s="49" t="s">
        <v>161</v>
      </c>
      <c r="B143" s="36"/>
      <c r="C143" s="36"/>
      <c r="D143" s="45"/>
    </row>
    <row r="144" spans="1:4" ht="12.75">
      <c r="A144" s="54" t="s">
        <v>162</v>
      </c>
      <c r="B144" s="56" t="s">
        <v>39</v>
      </c>
      <c r="C144" s="56">
        <v>1442.6</v>
      </c>
      <c r="D144" s="68" t="s">
        <v>44</v>
      </c>
    </row>
    <row r="145" spans="1:4" ht="12.75">
      <c r="A145" s="54" t="s">
        <v>163</v>
      </c>
      <c r="B145" s="56" t="s">
        <v>39</v>
      </c>
      <c r="C145" s="56">
        <v>1442.6</v>
      </c>
      <c r="D145" s="89" t="s">
        <v>164</v>
      </c>
    </row>
    <row r="146" spans="1:4" ht="12.75">
      <c r="A146" s="49" t="s">
        <v>165</v>
      </c>
      <c r="B146" s="38"/>
      <c r="C146" s="61"/>
      <c r="D146" s="62"/>
    </row>
    <row r="147" spans="1:4" ht="12.75">
      <c r="A147" s="54" t="s">
        <v>162</v>
      </c>
      <c r="B147" s="56" t="s">
        <v>39</v>
      </c>
      <c r="C147" s="56">
        <f>1442.6</f>
        <v>1442.6</v>
      </c>
      <c r="D147" s="68" t="s">
        <v>44</v>
      </c>
    </row>
    <row r="148" spans="1:4" ht="12.75">
      <c r="A148" s="54" t="s">
        <v>163</v>
      </c>
      <c r="B148" s="56" t="s">
        <v>39</v>
      </c>
      <c r="C148" s="56">
        <f>1442.6</f>
        <v>1442.6</v>
      </c>
      <c r="D148" s="89" t="s">
        <v>164</v>
      </c>
    </row>
    <row r="149" spans="1:4" ht="12.75">
      <c r="A149" s="49" t="s">
        <v>166</v>
      </c>
      <c r="B149" s="38"/>
      <c r="C149" s="61"/>
      <c r="D149" s="62"/>
    </row>
    <row r="150" spans="1:4" ht="12.75">
      <c r="A150" s="54" t="s">
        <v>162</v>
      </c>
      <c r="B150" s="56" t="s">
        <v>39</v>
      </c>
      <c r="C150" s="56">
        <f>1442.6+644.3+34</f>
        <v>2120.8999999999996</v>
      </c>
      <c r="D150" s="68" t="s">
        <v>175</v>
      </c>
    </row>
    <row r="151" spans="1:4" ht="12.75">
      <c r="A151" s="54" t="s">
        <v>163</v>
      </c>
      <c r="B151" s="56" t="s">
        <v>39</v>
      </c>
      <c r="C151" s="56">
        <f>1442.6+644.3+34</f>
        <v>2120.8999999999996</v>
      </c>
      <c r="D151" s="89" t="s">
        <v>164</v>
      </c>
    </row>
    <row r="152" spans="1:5" ht="12.75">
      <c r="A152" s="49" t="s">
        <v>168</v>
      </c>
      <c r="B152" s="36"/>
      <c r="C152" s="116"/>
      <c r="D152" s="45"/>
      <c r="E152" s="94"/>
    </row>
    <row r="153" spans="1:5" ht="12.75">
      <c r="A153" s="103" t="s">
        <v>482</v>
      </c>
      <c r="B153" s="55" t="s">
        <v>170</v>
      </c>
      <c r="C153" s="66" t="s">
        <v>534</v>
      </c>
      <c r="D153" s="68" t="s">
        <v>44</v>
      </c>
      <c r="E153" s="67"/>
    </row>
    <row r="154" spans="1:4" ht="12.75">
      <c r="A154" s="54" t="s">
        <v>172</v>
      </c>
      <c r="B154" s="55" t="s">
        <v>170</v>
      </c>
      <c r="C154" s="66" t="s">
        <v>535</v>
      </c>
      <c r="D154" s="85" t="s">
        <v>536</v>
      </c>
    </row>
    <row r="155" spans="1:4" ht="12.75">
      <c r="A155" s="69" t="s">
        <v>174</v>
      </c>
      <c r="B155" s="55" t="s">
        <v>170</v>
      </c>
      <c r="C155" s="55">
        <v>5</v>
      </c>
      <c r="D155" s="85" t="s">
        <v>175</v>
      </c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4"/>
  </sheetPr>
  <dimension ref="A1:F144"/>
  <sheetViews>
    <sheetView workbookViewId="0" topLeftCell="A118">
      <selection activeCell="A147" sqref="A147"/>
    </sheetView>
  </sheetViews>
  <sheetFormatPr defaultColWidth="9.00390625" defaultRowHeight="12.75"/>
  <cols>
    <col min="1" max="1" width="49.125" style="0" customWidth="1"/>
    <col min="2" max="2" width="9.875" style="0" customWidth="1"/>
    <col min="3" max="3" width="16.25390625" style="0" customWidth="1"/>
    <col min="4" max="4" width="19.87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537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538</v>
      </c>
    </row>
    <row r="8" spans="1:3" ht="12.75">
      <c r="A8" t="s">
        <v>7</v>
      </c>
      <c r="C8" s="4" t="s">
        <v>539</v>
      </c>
    </row>
    <row r="9" spans="1:3" ht="12.75">
      <c r="A9" t="s">
        <v>9</v>
      </c>
      <c r="C9" s="7" t="s">
        <v>540</v>
      </c>
    </row>
    <row r="10" ht="12.75">
      <c r="C10" s="7"/>
    </row>
    <row r="11" spans="1:3" ht="12.75">
      <c r="A11" t="s">
        <v>11</v>
      </c>
      <c r="C11" s="7" t="s">
        <v>541</v>
      </c>
    </row>
    <row r="12" spans="1:3" ht="12.75">
      <c r="A12" s="1" t="s">
        <v>13</v>
      </c>
      <c r="B12" s="1"/>
      <c r="C12" s="83"/>
    </row>
    <row r="13" spans="1:3" ht="12.75">
      <c r="A13" s="1" t="s">
        <v>14</v>
      </c>
      <c r="B13" s="1"/>
      <c r="C13" s="83"/>
    </row>
    <row r="14" spans="1:3" ht="12.75">
      <c r="A14" s="1" t="s">
        <v>15</v>
      </c>
      <c r="B14" s="1" t="s">
        <v>16</v>
      </c>
      <c r="C14" s="83"/>
    </row>
    <row r="15" spans="1:3" ht="12.75">
      <c r="A15" s="1" t="s">
        <v>17</v>
      </c>
      <c r="B15" s="1" t="s">
        <v>231</v>
      </c>
      <c r="C15" s="83"/>
    </row>
    <row r="16" spans="1:3" ht="12.75">
      <c r="A16" s="1" t="s">
        <v>19</v>
      </c>
      <c r="B16" s="1" t="s">
        <v>20</v>
      </c>
      <c r="C16" s="83"/>
    </row>
    <row r="17" spans="1:3" ht="12.75">
      <c r="A17" s="1" t="s">
        <v>21</v>
      </c>
      <c r="B17" s="1" t="s">
        <v>22</v>
      </c>
      <c r="C17" s="83"/>
    </row>
    <row r="18" spans="1:3" ht="12.75">
      <c r="A18" s="157" t="s">
        <v>23</v>
      </c>
      <c r="B18" s="1" t="s">
        <v>232</v>
      </c>
      <c r="C18" s="83"/>
    </row>
    <row r="19" spans="1:3" ht="12.75">
      <c r="A19" s="1" t="s">
        <v>25</v>
      </c>
      <c r="B19" s="1" t="s">
        <v>26</v>
      </c>
      <c r="C19" s="83"/>
    </row>
    <row r="20" spans="1:3" ht="12.75">
      <c r="A20" s="1" t="s">
        <v>27</v>
      </c>
      <c r="B20" s="1" t="s">
        <v>28</v>
      </c>
      <c r="C20" s="83"/>
    </row>
    <row r="21" spans="1:3" ht="12.75">
      <c r="A21" s="1" t="s">
        <v>29</v>
      </c>
      <c r="B21" s="1"/>
      <c r="C21" s="83"/>
    </row>
    <row r="22" spans="1:3" ht="12.75">
      <c r="A22" s="1" t="s">
        <v>30</v>
      </c>
      <c r="B22" s="1" t="s">
        <v>31</v>
      </c>
      <c r="C22" s="83"/>
    </row>
    <row r="23" ht="12.75">
      <c r="C23" s="83"/>
    </row>
    <row r="24" spans="1:3" ht="12.75">
      <c r="A24" t="s">
        <v>32</v>
      </c>
      <c r="C24" s="71">
        <v>0.8919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1077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1077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2261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146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438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73">
        <v>1077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582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>
        <v>5</v>
      </c>
      <c r="D36" s="16" t="s">
        <v>55</v>
      </c>
    </row>
    <row r="37" spans="1:4" ht="27.75" customHeight="1">
      <c r="A37" s="13" t="s">
        <v>56</v>
      </c>
      <c r="B37" s="17" t="s">
        <v>39</v>
      </c>
      <c r="C37" s="15">
        <v>5</v>
      </c>
      <c r="D37" s="16" t="s">
        <v>57</v>
      </c>
    </row>
    <row r="38" spans="1:4" ht="27.75" customHeight="1">
      <c r="A38" s="13"/>
      <c r="B38" s="17" t="s">
        <v>39</v>
      </c>
      <c r="C38" s="15">
        <v>5</v>
      </c>
      <c r="D38" s="16" t="s">
        <v>58</v>
      </c>
    </row>
    <row r="39" spans="1:4" ht="12.75">
      <c r="A39" s="13" t="s">
        <v>59</v>
      </c>
      <c r="B39" s="17" t="s">
        <v>39</v>
      </c>
      <c r="C39" s="15">
        <v>45</v>
      </c>
      <c r="D39" s="16" t="s">
        <v>60</v>
      </c>
    </row>
    <row r="40" spans="1:4" ht="14.25" customHeight="1">
      <c r="A40" s="13" t="s">
        <v>61</v>
      </c>
      <c r="B40" s="17" t="s">
        <v>39</v>
      </c>
      <c r="C40" s="15">
        <v>1577.5</v>
      </c>
      <c r="D40" s="16" t="s">
        <v>46</v>
      </c>
    </row>
    <row r="41" spans="1:4" ht="27" customHeight="1">
      <c r="A41" s="13" t="s">
        <v>62</v>
      </c>
      <c r="B41" s="17" t="s">
        <v>39</v>
      </c>
      <c r="C41" s="73">
        <v>1077</v>
      </c>
      <c r="D41" s="16" t="s">
        <v>53</v>
      </c>
    </row>
    <row r="42" spans="1:4" ht="15" customHeight="1">
      <c r="A42" s="13" t="s">
        <v>63</v>
      </c>
      <c r="B42" s="17" t="s">
        <v>39</v>
      </c>
      <c r="C42" s="15">
        <v>5</v>
      </c>
      <c r="D42" s="16" t="s">
        <v>44</v>
      </c>
    </row>
    <row r="43" spans="1:4" ht="15" customHeight="1">
      <c r="A43" s="13" t="s">
        <v>64</v>
      </c>
      <c r="B43" s="17" t="s">
        <v>39</v>
      </c>
      <c r="C43" s="15">
        <v>201</v>
      </c>
      <c r="D43" s="16" t="s">
        <v>44</v>
      </c>
    </row>
    <row r="44" spans="1:4" ht="31.5" customHeight="1">
      <c r="A44" s="13" t="s">
        <v>65</v>
      </c>
      <c r="B44" s="17" t="s">
        <v>39</v>
      </c>
      <c r="C44" s="15">
        <v>95</v>
      </c>
      <c r="D44" s="16" t="s">
        <v>53</v>
      </c>
    </row>
    <row r="45" spans="1:4" ht="15.75" customHeight="1">
      <c r="A45" s="13" t="s">
        <v>66</v>
      </c>
      <c r="B45" s="17" t="s">
        <v>67</v>
      </c>
      <c r="C45" s="15">
        <v>5</v>
      </c>
      <c r="D45" s="16" t="s">
        <v>60</v>
      </c>
    </row>
    <row r="46" spans="1:4" ht="33" customHeight="1">
      <c r="A46" s="13" t="s">
        <v>68</v>
      </c>
      <c r="B46" s="17" t="s">
        <v>67</v>
      </c>
      <c r="C46" s="15">
        <v>5</v>
      </c>
      <c r="D46" s="16" t="s">
        <v>69</v>
      </c>
    </row>
    <row r="47" spans="1:4" ht="17.25" customHeight="1">
      <c r="A47" s="13" t="s">
        <v>70</v>
      </c>
      <c r="B47" s="17" t="s">
        <v>39</v>
      </c>
      <c r="C47" s="15">
        <v>25</v>
      </c>
      <c r="D47" s="16" t="s">
        <v>71</v>
      </c>
    </row>
    <row r="48" spans="1:4" ht="26.25" customHeight="1">
      <c r="A48" s="13" t="s">
        <v>72</v>
      </c>
      <c r="B48" s="17" t="s">
        <v>39</v>
      </c>
      <c r="C48" s="15">
        <f>1*1.88*8*5</f>
        <v>75.19999999999999</v>
      </c>
      <c r="D48" s="16" t="s">
        <v>53</v>
      </c>
    </row>
    <row r="49" spans="1:4" ht="17.25" customHeight="1">
      <c r="A49" s="13" t="s">
        <v>73</v>
      </c>
      <c r="B49" s="17" t="s">
        <v>67</v>
      </c>
      <c r="C49" s="15">
        <v>5</v>
      </c>
      <c r="D49" s="16" t="s">
        <v>44</v>
      </c>
    </row>
    <row r="50" spans="1:4" ht="16.5" customHeight="1">
      <c r="A50" s="13" t="s">
        <v>74</v>
      </c>
      <c r="B50" s="17" t="s">
        <v>39</v>
      </c>
      <c r="C50" s="15">
        <v>1488.5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31.5" customHeight="1">
      <c r="A56" s="13" t="s">
        <v>82</v>
      </c>
      <c r="B56" s="24" t="s">
        <v>79</v>
      </c>
      <c r="C56" s="24"/>
      <c r="D56" s="13" t="s">
        <v>83</v>
      </c>
    </row>
    <row r="57" spans="1:4" ht="30.75" customHeight="1">
      <c r="A57" s="13" t="s">
        <v>84</v>
      </c>
      <c r="B57" s="24" t="s">
        <v>79</v>
      </c>
      <c r="C57" s="24"/>
      <c r="D57" s="13" t="s">
        <v>83</v>
      </c>
    </row>
    <row r="58" spans="1:4" ht="30.75" customHeight="1">
      <c r="A58" s="13" t="s">
        <v>85</v>
      </c>
      <c r="B58" s="24" t="s">
        <v>79</v>
      </c>
      <c r="C58" s="24"/>
      <c r="D58" s="13" t="s">
        <v>86</v>
      </c>
    </row>
    <row r="59" spans="1:4" ht="27" customHeight="1">
      <c r="A59" s="13" t="s">
        <v>87</v>
      </c>
      <c r="B59" s="24" t="s">
        <v>79</v>
      </c>
      <c r="C59" s="24"/>
      <c r="D59" s="13" t="s">
        <v>88</v>
      </c>
    </row>
    <row r="60" spans="1:4" ht="28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8.5" customHeight="1">
      <c r="A62" s="13" t="s">
        <v>91</v>
      </c>
      <c r="B62" s="24" t="s">
        <v>79</v>
      </c>
      <c r="C62" s="24"/>
      <c r="D62" s="13" t="s">
        <v>92</v>
      </c>
    </row>
    <row r="63" spans="1:4" ht="27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4" customHeight="1">
      <c r="A65" s="13" t="s">
        <v>96</v>
      </c>
      <c r="B65" s="24" t="s">
        <v>79</v>
      </c>
      <c r="C65" s="24"/>
      <c r="D65" s="13" t="s">
        <v>88</v>
      </c>
    </row>
    <row r="66" spans="1:4" ht="25.5" customHeight="1">
      <c r="A66" s="13" t="s">
        <v>97</v>
      </c>
      <c r="B66" s="24" t="s">
        <v>79</v>
      </c>
      <c r="C66" s="24"/>
      <c r="D66" s="13" t="s">
        <v>98</v>
      </c>
    </row>
    <row r="67" spans="1:4" ht="27.75" customHeight="1">
      <c r="A67" s="13" t="s">
        <v>99</v>
      </c>
      <c r="B67" s="24" t="s">
        <v>79</v>
      </c>
      <c r="C67" s="24"/>
      <c r="D67" s="13" t="s">
        <v>100</v>
      </c>
    </row>
    <row r="68" spans="1:4" ht="26.25" customHeight="1">
      <c r="A68" s="13" t="s">
        <v>101</v>
      </c>
      <c r="B68" s="24" t="s">
        <v>79</v>
      </c>
      <c r="C68" s="24"/>
      <c r="D68" s="13" t="s">
        <v>88</v>
      </c>
    </row>
    <row r="69" spans="1:4" ht="25.5" customHeight="1">
      <c r="A69" s="13" t="s">
        <v>102</v>
      </c>
      <c r="B69" s="24" t="s">
        <v>79</v>
      </c>
      <c r="C69" s="24"/>
      <c r="D69" s="13" t="s">
        <v>60</v>
      </c>
    </row>
    <row r="70" spans="1:4" ht="24.75" customHeight="1">
      <c r="A70" s="13" t="s">
        <v>103</v>
      </c>
      <c r="B70" s="24" t="s">
        <v>79</v>
      </c>
      <c r="C70" s="24"/>
      <c r="D70" s="13" t="s">
        <v>104</v>
      </c>
    </row>
    <row r="71" spans="1:4" ht="27.7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5.5" customHeight="1">
      <c r="A73" s="13" t="s">
        <v>89</v>
      </c>
      <c r="B73" s="24" t="s">
        <v>79</v>
      </c>
      <c r="C73" s="24"/>
      <c r="D73" s="13" t="s">
        <v>40</v>
      </c>
    </row>
    <row r="74" spans="1:4" ht="39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4" ht="27.75" customHeight="1">
      <c r="A76" s="13" t="s">
        <v>111</v>
      </c>
      <c r="B76" s="14" t="s">
        <v>112</v>
      </c>
      <c r="C76" s="15">
        <f>521*1.15*12</f>
        <v>7189.799999999999</v>
      </c>
      <c r="D76" s="32" t="s">
        <v>69</v>
      </c>
    </row>
    <row r="77" spans="1:4" ht="17.25" customHeight="1">
      <c r="A77" s="13" t="s">
        <v>113</v>
      </c>
      <c r="B77" s="33" t="s">
        <v>112</v>
      </c>
      <c r="C77" s="15">
        <f>0.75*5*2*51</f>
        <v>382.5</v>
      </c>
      <c r="D77" s="32" t="s">
        <v>114</v>
      </c>
    </row>
    <row r="78" spans="1:6" ht="24.75" customHeight="1">
      <c r="A78" s="13" t="s">
        <v>115</v>
      </c>
      <c r="B78" s="14" t="s">
        <v>67</v>
      </c>
      <c r="C78" s="15">
        <v>5</v>
      </c>
      <c r="D78" s="32" t="s">
        <v>116</v>
      </c>
      <c r="F78" s="159"/>
    </row>
    <row r="79" spans="1:4" ht="12.75" customHeight="1">
      <c r="A79" s="28" t="s">
        <v>117</v>
      </c>
      <c r="B79" s="28"/>
      <c r="C79" s="29"/>
      <c r="D79" s="30"/>
    </row>
    <row r="80" spans="1:4" ht="12.75">
      <c r="A80" s="35" t="s">
        <v>118</v>
      </c>
      <c r="B80" s="36"/>
      <c r="C80" s="37"/>
      <c r="D80" s="38"/>
    </row>
    <row r="81" spans="1:4" ht="12.75">
      <c r="A81" s="39" t="s">
        <v>119</v>
      </c>
      <c r="B81" s="40" t="s">
        <v>39</v>
      </c>
      <c r="C81" s="41">
        <f>10+24+0.7+4.6</f>
        <v>39.300000000000004</v>
      </c>
      <c r="D81" s="42"/>
    </row>
    <row r="82" spans="1:4" ht="12.75">
      <c r="A82" s="39" t="s">
        <v>542</v>
      </c>
      <c r="B82" s="40" t="s">
        <v>39</v>
      </c>
      <c r="C82" s="41">
        <v>0.7</v>
      </c>
      <c r="D82" s="42"/>
    </row>
    <row r="83" spans="1:4" ht="12.75">
      <c r="A83" s="39" t="s">
        <v>181</v>
      </c>
      <c r="B83" s="40" t="s">
        <v>67</v>
      </c>
      <c r="C83" s="41">
        <f>1+1+1+1</f>
        <v>4</v>
      </c>
      <c r="D83" s="42"/>
    </row>
    <row r="84" spans="1:4" ht="12.75">
      <c r="A84" s="39" t="s">
        <v>543</v>
      </c>
      <c r="B84" s="40" t="s">
        <v>67</v>
      </c>
      <c r="C84" s="40">
        <v>12</v>
      </c>
      <c r="D84" s="42"/>
    </row>
    <row r="85" spans="1:4" ht="12.75">
      <c r="A85" s="39" t="s">
        <v>493</v>
      </c>
      <c r="B85" s="40" t="s">
        <v>67</v>
      </c>
      <c r="C85" s="40">
        <v>1</v>
      </c>
      <c r="D85" s="42"/>
    </row>
    <row r="86" spans="1:4" ht="12.75">
      <c r="A86" s="35" t="s">
        <v>124</v>
      </c>
      <c r="B86" s="36"/>
      <c r="C86" s="36"/>
      <c r="D86" s="45"/>
    </row>
    <row r="87" spans="1:4" ht="12.75">
      <c r="A87" s="39" t="s">
        <v>528</v>
      </c>
      <c r="B87" s="40" t="s">
        <v>39</v>
      </c>
      <c r="C87" s="40">
        <v>0.6</v>
      </c>
      <c r="D87" s="42"/>
    </row>
    <row r="88" spans="1:4" ht="12.75">
      <c r="A88" s="39" t="s">
        <v>544</v>
      </c>
      <c r="B88" s="41" t="s">
        <v>133</v>
      </c>
      <c r="C88" s="40">
        <v>10</v>
      </c>
      <c r="D88" s="42"/>
    </row>
    <row r="89" spans="1:4" ht="12.75">
      <c r="A89" s="43" t="s">
        <v>530</v>
      </c>
      <c r="B89" s="41" t="s">
        <v>67</v>
      </c>
      <c r="C89" s="40">
        <f>1</f>
        <v>1</v>
      </c>
      <c r="D89" s="42"/>
    </row>
    <row r="90" spans="1:4" ht="12.75">
      <c r="A90" s="35" t="s">
        <v>467</v>
      </c>
      <c r="B90" s="36"/>
      <c r="C90" s="36"/>
      <c r="D90" s="45"/>
    </row>
    <row r="91" spans="1:4" ht="12.75">
      <c r="A91" s="43" t="s">
        <v>127</v>
      </c>
      <c r="B91" s="46" t="s">
        <v>67</v>
      </c>
      <c r="C91" s="40">
        <f>1+1+3+2+2+4+2+3</f>
        <v>18</v>
      </c>
      <c r="D91" s="42"/>
    </row>
    <row r="92" spans="1:4" ht="12.75">
      <c r="A92" s="43" t="s">
        <v>185</v>
      </c>
      <c r="B92" s="46" t="s">
        <v>67</v>
      </c>
      <c r="C92" s="41">
        <f>1+1</f>
        <v>2</v>
      </c>
      <c r="D92" s="42"/>
    </row>
    <row r="93" spans="1:4" ht="12.75">
      <c r="A93" s="43" t="s">
        <v>128</v>
      </c>
      <c r="B93" s="46" t="s">
        <v>67</v>
      </c>
      <c r="C93" s="41">
        <f>1+1+1</f>
        <v>3</v>
      </c>
      <c r="D93" s="42"/>
    </row>
    <row r="94" spans="1:4" ht="12.75">
      <c r="A94" s="43" t="s">
        <v>468</v>
      </c>
      <c r="B94" s="40" t="s">
        <v>67</v>
      </c>
      <c r="C94" s="41">
        <v>5</v>
      </c>
      <c r="D94" s="42"/>
    </row>
    <row r="95" spans="1:4" ht="12.75">
      <c r="A95" s="43" t="s">
        <v>131</v>
      </c>
      <c r="B95" s="40" t="s">
        <v>67</v>
      </c>
      <c r="C95" s="41">
        <v>5</v>
      </c>
      <c r="D95" s="47" t="s">
        <v>130</v>
      </c>
    </row>
    <row r="96" spans="1:4" ht="12.75">
      <c r="A96" s="43" t="s">
        <v>397</v>
      </c>
      <c r="B96" s="40" t="s">
        <v>39</v>
      </c>
      <c r="C96" s="41">
        <f>0.2+0.3</f>
        <v>0.5</v>
      </c>
      <c r="D96" s="42"/>
    </row>
    <row r="97" spans="1:4" ht="12.75">
      <c r="A97" s="43" t="s">
        <v>470</v>
      </c>
      <c r="B97" s="46" t="s">
        <v>67</v>
      </c>
      <c r="C97" s="41">
        <f>1+2+6+5</f>
        <v>14</v>
      </c>
      <c r="D97" s="42"/>
    </row>
    <row r="98" spans="1:4" ht="12.75">
      <c r="A98" s="43" t="s">
        <v>189</v>
      </c>
      <c r="B98" s="40" t="s">
        <v>133</v>
      </c>
      <c r="C98" s="41">
        <f>2+3+6+18</f>
        <v>29</v>
      </c>
      <c r="D98" s="42"/>
    </row>
    <row r="99" spans="1:4" ht="12.75">
      <c r="A99" s="43" t="s">
        <v>190</v>
      </c>
      <c r="B99" s="40" t="s">
        <v>67</v>
      </c>
      <c r="C99" s="41">
        <f>2</f>
        <v>2</v>
      </c>
      <c r="D99" s="42"/>
    </row>
    <row r="100" spans="1:4" ht="12.75">
      <c r="A100" s="43" t="s">
        <v>471</v>
      </c>
      <c r="B100" s="40" t="s">
        <v>67</v>
      </c>
      <c r="C100" s="41">
        <f>10</f>
        <v>10</v>
      </c>
      <c r="D100" s="42"/>
    </row>
    <row r="101" spans="1:4" ht="12.75">
      <c r="A101" s="43" t="s">
        <v>134</v>
      </c>
      <c r="B101" s="40" t="s">
        <v>39</v>
      </c>
      <c r="C101" s="41">
        <f>1.4+0.2+15+0.4+0.4+0.8+0.4+1.2+1.2+1.2+1.2+1.2+1.2+0.5+0.7+0.7+0.5+0.2+8.5+4+0.7</f>
        <v>41.599999999999994</v>
      </c>
      <c r="D101" s="42"/>
    </row>
    <row r="102" spans="1:4" ht="12.75">
      <c r="A102" s="43" t="s">
        <v>277</v>
      </c>
      <c r="B102" s="40" t="s">
        <v>67</v>
      </c>
      <c r="C102" s="41">
        <f>1+30+25+15</f>
        <v>71</v>
      </c>
      <c r="D102" s="42"/>
    </row>
    <row r="103" spans="1:4" ht="12.75">
      <c r="A103" s="43" t="s">
        <v>346</v>
      </c>
      <c r="B103" s="40" t="s">
        <v>122</v>
      </c>
      <c r="C103" s="40">
        <f>1+2</f>
        <v>3</v>
      </c>
      <c r="D103" s="42"/>
    </row>
    <row r="104" spans="1:4" ht="12.75">
      <c r="A104" s="43" t="s">
        <v>474</v>
      </c>
      <c r="B104" s="40" t="s">
        <v>39</v>
      </c>
      <c r="C104" s="40">
        <f>0.2</f>
        <v>0.2</v>
      </c>
      <c r="D104" s="42"/>
    </row>
    <row r="105" spans="1:4" ht="12.75">
      <c r="A105" s="88" t="s">
        <v>267</v>
      </c>
      <c r="B105" s="40" t="s">
        <v>122</v>
      </c>
      <c r="C105" s="40">
        <v>3</v>
      </c>
      <c r="D105" s="42"/>
    </row>
    <row r="106" spans="1:4" ht="12.75">
      <c r="A106" s="35" t="s">
        <v>238</v>
      </c>
      <c r="B106" s="36"/>
      <c r="C106" s="36"/>
      <c r="D106" s="45"/>
    </row>
    <row r="107" spans="1:4" ht="12.75">
      <c r="A107" s="43" t="s">
        <v>475</v>
      </c>
      <c r="B107" s="40" t="s">
        <v>133</v>
      </c>
      <c r="C107" s="40">
        <f>13</f>
        <v>13</v>
      </c>
      <c r="D107" s="42"/>
    </row>
    <row r="108" spans="1:4" ht="12.75">
      <c r="A108" s="35" t="s">
        <v>137</v>
      </c>
      <c r="B108" s="48"/>
      <c r="C108" s="36"/>
      <c r="D108" s="45"/>
    </row>
    <row r="109" spans="1:4" ht="12.75">
      <c r="A109" s="88" t="s">
        <v>545</v>
      </c>
      <c r="B109" s="40" t="s">
        <v>67</v>
      </c>
      <c r="C109" s="41">
        <v>4</v>
      </c>
      <c r="D109" s="42"/>
    </row>
    <row r="110" spans="1:4" ht="12.75">
      <c r="A110" s="39" t="s">
        <v>125</v>
      </c>
      <c r="B110" s="40" t="s">
        <v>67</v>
      </c>
      <c r="C110" s="41">
        <f>1+1+1</f>
        <v>3</v>
      </c>
      <c r="D110" s="42"/>
    </row>
    <row r="111" spans="1:4" ht="12.75">
      <c r="A111" s="39" t="s">
        <v>142</v>
      </c>
      <c r="B111" s="40" t="s">
        <v>122</v>
      </c>
      <c r="C111" s="41">
        <f>1+1</f>
        <v>2</v>
      </c>
      <c r="D111" s="42"/>
    </row>
    <row r="112" spans="1:4" ht="12.75">
      <c r="A112" s="39" t="s">
        <v>498</v>
      </c>
      <c r="B112" s="40" t="s">
        <v>39</v>
      </c>
      <c r="C112" s="41">
        <v>0.6</v>
      </c>
      <c r="D112" s="42"/>
    </row>
    <row r="113" spans="1:4" ht="12.75">
      <c r="A113" s="39" t="s">
        <v>476</v>
      </c>
      <c r="B113" s="40" t="s">
        <v>122</v>
      </c>
      <c r="C113" s="41">
        <v>4</v>
      </c>
      <c r="D113" s="42"/>
    </row>
    <row r="114" spans="1:4" ht="12.75">
      <c r="A114" s="35" t="s">
        <v>213</v>
      </c>
      <c r="B114" s="36"/>
      <c r="C114" s="36"/>
      <c r="D114" s="45"/>
    </row>
    <row r="115" spans="1:4" ht="12.75">
      <c r="A115" s="80" t="s">
        <v>397</v>
      </c>
      <c r="B115" s="41" t="s">
        <v>39</v>
      </c>
      <c r="C115" s="41">
        <v>0.3</v>
      </c>
      <c r="D115" s="42"/>
    </row>
    <row r="116" spans="1:4" ht="12.75">
      <c r="A116" s="49" t="s">
        <v>141</v>
      </c>
      <c r="B116" s="36"/>
      <c r="C116" s="36"/>
      <c r="D116" s="45"/>
    </row>
    <row r="117" spans="1:4" ht="12.75">
      <c r="A117" s="51" t="s">
        <v>348</v>
      </c>
      <c r="B117" s="41" t="s">
        <v>133</v>
      </c>
      <c r="C117" s="41">
        <v>2</v>
      </c>
      <c r="D117" s="42"/>
    </row>
    <row r="118" spans="1:4" ht="12.75">
      <c r="A118" s="51" t="s">
        <v>192</v>
      </c>
      <c r="B118" s="41" t="s">
        <v>67</v>
      </c>
      <c r="C118" s="41">
        <f>1+3+1</f>
        <v>5</v>
      </c>
      <c r="D118" s="42"/>
    </row>
    <row r="119" spans="1:4" s="1" customFormat="1" ht="12.75">
      <c r="A119" s="51" t="s">
        <v>242</v>
      </c>
      <c r="B119" s="41" t="s">
        <v>122</v>
      </c>
      <c r="C119" s="41">
        <v>2</v>
      </c>
      <c r="D119" s="47" t="s">
        <v>186</v>
      </c>
    </row>
    <row r="120" spans="1:4" ht="12.75">
      <c r="A120" s="49" t="s">
        <v>145</v>
      </c>
      <c r="B120" s="36"/>
      <c r="C120" s="36"/>
      <c r="D120" s="45"/>
    </row>
    <row r="121" spans="1:4" ht="12.75">
      <c r="A121" s="52" t="s">
        <v>194</v>
      </c>
      <c r="B121" s="41" t="s">
        <v>133</v>
      </c>
      <c r="C121" s="40">
        <f>3+4</f>
        <v>7</v>
      </c>
      <c r="D121" s="42"/>
    </row>
    <row r="122" spans="1:4" ht="12.75">
      <c r="A122" s="52" t="s">
        <v>501</v>
      </c>
      <c r="B122" s="41" t="s">
        <v>112</v>
      </c>
      <c r="C122" s="40">
        <v>7</v>
      </c>
      <c r="D122" s="42"/>
    </row>
    <row r="123" spans="1:4" ht="12.75">
      <c r="A123" s="52" t="s">
        <v>149</v>
      </c>
      <c r="B123" s="40" t="s">
        <v>67</v>
      </c>
      <c r="C123" s="40">
        <v>5</v>
      </c>
      <c r="D123" s="42"/>
    </row>
    <row r="124" spans="1:4" ht="12.75">
      <c r="A124" s="52" t="s">
        <v>196</v>
      </c>
      <c r="B124" s="41" t="s">
        <v>67</v>
      </c>
      <c r="C124" s="40">
        <v>8</v>
      </c>
      <c r="D124" s="42"/>
    </row>
    <row r="125" spans="1:4" s="1" customFormat="1" ht="12.75">
      <c r="A125" s="52" t="s">
        <v>151</v>
      </c>
      <c r="B125" s="41" t="s">
        <v>39</v>
      </c>
      <c r="C125" s="40">
        <v>2300</v>
      </c>
      <c r="D125" s="47" t="s">
        <v>186</v>
      </c>
    </row>
    <row r="126" spans="1:4" ht="12.75">
      <c r="A126" s="52" t="s">
        <v>197</v>
      </c>
      <c r="B126" s="41" t="s">
        <v>67</v>
      </c>
      <c r="C126" s="40">
        <f>3</f>
        <v>3</v>
      </c>
      <c r="D126" s="42"/>
    </row>
    <row r="127" spans="1:4" ht="12.75">
      <c r="A127" s="52" t="s">
        <v>154</v>
      </c>
      <c r="B127" s="41" t="s">
        <v>67</v>
      </c>
      <c r="C127" s="40">
        <v>5</v>
      </c>
      <c r="D127" s="42"/>
    </row>
    <row r="128" spans="1:4" ht="12.75">
      <c r="A128" s="49" t="s">
        <v>157</v>
      </c>
      <c r="B128" s="36"/>
      <c r="C128" s="36"/>
      <c r="D128" s="45"/>
    </row>
    <row r="129" spans="1:4" s="1" customFormat="1" ht="12.75">
      <c r="A129" s="80" t="s">
        <v>158</v>
      </c>
      <c r="B129" s="41" t="s">
        <v>67</v>
      </c>
      <c r="C129" s="41">
        <v>15</v>
      </c>
      <c r="D129" s="68" t="s">
        <v>290</v>
      </c>
    </row>
    <row r="130" spans="1:4" s="1" customFormat="1" ht="12.75">
      <c r="A130" s="80" t="s">
        <v>202</v>
      </c>
      <c r="B130" s="41" t="s">
        <v>39</v>
      </c>
      <c r="C130" s="41">
        <v>180</v>
      </c>
      <c r="D130" s="44"/>
    </row>
    <row r="131" spans="1:4" ht="12.75">
      <c r="A131" s="51" t="s">
        <v>546</v>
      </c>
      <c r="B131" s="40" t="s">
        <v>67</v>
      </c>
      <c r="C131" s="40">
        <v>5</v>
      </c>
      <c r="D131" s="42"/>
    </row>
    <row r="132" spans="1:4" ht="12.75">
      <c r="A132" s="49" t="s">
        <v>161</v>
      </c>
      <c r="B132" s="36"/>
      <c r="C132" s="36"/>
      <c r="D132" s="45"/>
    </row>
    <row r="133" spans="1:4" ht="12.75">
      <c r="A133" s="54" t="s">
        <v>162</v>
      </c>
      <c r="B133" s="56" t="s">
        <v>39</v>
      </c>
      <c r="C133" s="56">
        <v>1488.5</v>
      </c>
      <c r="D133" s="143" t="s">
        <v>44</v>
      </c>
    </row>
    <row r="134" spans="1:4" ht="12.75">
      <c r="A134" s="54" t="s">
        <v>163</v>
      </c>
      <c r="B134" s="56" t="s">
        <v>39</v>
      </c>
      <c r="C134" s="56">
        <v>1488.5</v>
      </c>
      <c r="D134" s="89" t="s">
        <v>164</v>
      </c>
    </row>
    <row r="135" spans="1:4" ht="12.75">
      <c r="A135" s="49" t="s">
        <v>165</v>
      </c>
      <c r="B135" s="38"/>
      <c r="C135" s="61"/>
      <c r="D135" s="62"/>
    </row>
    <row r="136" spans="1:4" ht="12.75">
      <c r="A136" s="54" t="s">
        <v>162</v>
      </c>
      <c r="B136" s="56" t="s">
        <v>39</v>
      </c>
      <c r="C136" s="56">
        <f>1488.5+134.4</f>
        <v>1622.9</v>
      </c>
      <c r="D136" s="68" t="s">
        <v>44</v>
      </c>
    </row>
    <row r="137" spans="1:4" ht="12.75">
      <c r="A137" s="54" t="s">
        <v>163</v>
      </c>
      <c r="B137" s="56" t="s">
        <v>39</v>
      </c>
      <c r="C137" s="56">
        <f>1488.5+134.4</f>
        <v>1622.9</v>
      </c>
      <c r="D137" s="89" t="s">
        <v>164</v>
      </c>
    </row>
    <row r="138" spans="1:4" ht="12.75">
      <c r="A138" s="49" t="s">
        <v>166</v>
      </c>
      <c r="B138" s="38"/>
      <c r="C138" s="61"/>
      <c r="D138" s="62"/>
    </row>
    <row r="139" spans="1:4" ht="12.75">
      <c r="A139" s="54" t="s">
        <v>162</v>
      </c>
      <c r="B139" s="56" t="s">
        <v>39</v>
      </c>
      <c r="C139" s="56">
        <f>1488.5+285.4+732</f>
        <v>2505.9</v>
      </c>
      <c r="D139" s="68" t="s">
        <v>175</v>
      </c>
    </row>
    <row r="140" spans="1:4" ht="12.75">
      <c r="A140" s="54" t="s">
        <v>163</v>
      </c>
      <c r="B140" s="56" t="s">
        <v>39</v>
      </c>
      <c r="C140" s="56">
        <f>1488.5+285.4+732</f>
        <v>2505.9</v>
      </c>
      <c r="D140" s="89" t="s">
        <v>164</v>
      </c>
    </row>
    <row r="141" spans="1:4" ht="12.75">
      <c r="A141" s="49" t="s">
        <v>168</v>
      </c>
      <c r="B141" s="36"/>
      <c r="C141" s="36"/>
      <c r="D141" s="65"/>
    </row>
    <row r="142" spans="1:5" ht="12.75">
      <c r="A142" s="54" t="s">
        <v>169</v>
      </c>
      <c r="B142" s="55" t="s">
        <v>170</v>
      </c>
      <c r="C142" s="178" t="s">
        <v>534</v>
      </c>
      <c r="D142" s="68" t="s">
        <v>44</v>
      </c>
      <c r="E142" s="67"/>
    </row>
    <row r="143" spans="1:4" ht="12.75">
      <c r="A143" s="54" t="s">
        <v>172</v>
      </c>
      <c r="B143" s="55" t="s">
        <v>170</v>
      </c>
      <c r="C143" s="178" t="s">
        <v>535</v>
      </c>
      <c r="D143" s="47" t="s">
        <v>547</v>
      </c>
    </row>
    <row r="144" spans="1:4" ht="12.75">
      <c r="A144" s="69" t="s">
        <v>174</v>
      </c>
      <c r="B144" s="55" t="s">
        <v>170</v>
      </c>
      <c r="C144" s="55">
        <v>5</v>
      </c>
      <c r="D144" s="68" t="s">
        <v>175</v>
      </c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7875" bottom="0.5902777777777778" header="0.5118055555555555" footer="0.5118055555555555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4"/>
  </sheetPr>
  <dimension ref="A1:G139"/>
  <sheetViews>
    <sheetView workbookViewId="0" topLeftCell="A118">
      <selection activeCell="A140" sqref="A140"/>
    </sheetView>
  </sheetViews>
  <sheetFormatPr defaultColWidth="9.00390625" defaultRowHeight="12.75"/>
  <cols>
    <col min="1" max="1" width="46.25390625" style="0" customWidth="1"/>
    <col min="3" max="3" width="18.25390625" style="0" customWidth="1"/>
    <col min="4" max="4" width="20.1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548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549</v>
      </c>
    </row>
    <row r="8" spans="1:3" ht="12.75">
      <c r="A8" t="s">
        <v>7</v>
      </c>
      <c r="C8" s="4" t="s">
        <v>550</v>
      </c>
    </row>
    <row r="9" spans="1:3" ht="12.75">
      <c r="A9" t="s">
        <v>9</v>
      </c>
      <c r="C9" s="7"/>
    </row>
    <row r="10" ht="12.75">
      <c r="C10" s="7"/>
    </row>
    <row r="11" spans="1:3" ht="12.75">
      <c r="A11" t="s">
        <v>11</v>
      </c>
      <c r="C11" s="7" t="s">
        <v>551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71">
        <v>0.8864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1223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1223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2743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88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263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73">
        <v>1223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856.2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>
        <v>3</v>
      </c>
      <c r="D36" s="16" t="s">
        <v>55</v>
      </c>
    </row>
    <row r="37" spans="1:4" ht="27.75" customHeight="1">
      <c r="A37" s="13" t="s">
        <v>56</v>
      </c>
      <c r="B37" s="17" t="s">
        <v>39</v>
      </c>
      <c r="C37" s="15">
        <v>3</v>
      </c>
      <c r="D37" s="16" t="s">
        <v>57</v>
      </c>
    </row>
    <row r="38" spans="1:4" ht="27.75" customHeight="1">
      <c r="A38" s="13"/>
      <c r="B38" s="17" t="s">
        <v>39</v>
      </c>
      <c r="C38" s="15">
        <v>3</v>
      </c>
      <c r="D38" s="16" t="s">
        <v>58</v>
      </c>
    </row>
    <row r="39" spans="1:4" ht="12.75">
      <c r="A39" s="13" t="s">
        <v>59</v>
      </c>
      <c r="B39" s="17" t="s">
        <v>39</v>
      </c>
      <c r="C39" s="15">
        <v>27</v>
      </c>
      <c r="D39" s="16" t="s">
        <v>60</v>
      </c>
    </row>
    <row r="40" spans="1:4" ht="14.25" customHeight="1">
      <c r="A40" s="13" t="s">
        <v>61</v>
      </c>
      <c r="B40" s="17" t="s">
        <v>39</v>
      </c>
      <c r="C40" s="15">
        <v>2216</v>
      </c>
      <c r="D40" s="16" t="s">
        <v>46</v>
      </c>
    </row>
    <row r="41" spans="1:4" ht="27" customHeight="1">
      <c r="A41" s="13" t="s">
        <v>62</v>
      </c>
      <c r="B41" s="17" t="s">
        <v>39</v>
      </c>
      <c r="C41" s="73">
        <v>1223</v>
      </c>
      <c r="D41" s="16" t="s">
        <v>53</v>
      </c>
    </row>
    <row r="42" spans="1:4" ht="15" customHeight="1">
      <c r="A42" s="13" t="s">
        <v>63</v>
      </c>
      <c r="B42" s="17" t="s">
        <v>39</v>
      </c>
      <c r="C42" s="15">
        <v>3</v>
      </c>
      <c r="D42" s="16" t="s">
        <v>44</v>
      </c>
    </row>
    <row r="43" spans="1:4" ht="15" customHeight="1">
      <c r="A43" s="13" t="s">
        <v>64</v>
      </c>
      <c r="B43" s="17" t="s">
        <v>39</v>
      </c>
      <c r="C43" s="15">
        <v>120.6</v>
      </c>
      <c r="D43" s="16" t="s">
        <v>44</v>
      </c>
    </row>
    <row r="44" spans="1:4" ht="31.5" customHeight="1">
      <c r="A44" s="13" t="s">
        <v>65</v>
      </c>
      <c r="B44" s="17" t="s">
        <v>39</v>
      </c>
      <c r="C44" s="15">
        <v>36</v>
      </c>
      <c r="D44" s="16" t="s">
        <v>53</v>
      </c>
    </row>
    <row r="45" spans="1:4" ht="15.75" customHeight="1">
      <c r="A45" s="13" t="s">
        <v>66</v>
      </c>
      <c r="B45" s="17" t="s">
        <v>67</v>
      </c>
      <c r="C45" s="15">
        <v>3</v>
      </c>
      <c r="D45" s="16" t="s">
        <v>60</v>
      </c>
    </row>
    <row r="46" spans="1:4" ht="33" customHeight="1">
      <c r="A46" s="13" t="s">
        <v>68</v>
      </c>
      <c r="B46" s="17" t="s">
        <v>67</v>
      </c>
      <c r="C46" s="15">
        <v>3</v>
      </c>
      <c r="D46" s="16" t="s">
        <v>69</v>
      </c>
    </row>
    <row r="47" spans="1:4" ht="17.25" customHeight="1">
      <c r="A47" s="13" t="s">
        <v>70</v>
      </c>
      <c r="B47" s="17" t="s">
        <v>39</v>
      </c>
      <c r="C47" s="15">
        <v>15</v>
      </c>
      <c r="D47" s="16" t="s">
        <v>71</v>
      </c>
    </row>
    <row r="48" spans="1:4" ht="26.25" customHeight="1">
      <c r="A48" s="13" t="s">
        <v>72</v>
      </c>
      <c r="B48" s="17" t="s">
        <v>39</v>
      </c>
      <c r="C48" s="15">
        <f>1*1.88*8*3</f>
        <v>45.12</v>
      </c>
      <c r="D48" s="16" t="s">
        <v>53</v>
      </c>
    </row>
    <row r="49" spans="1:4" ht="17.25" customHeight="1">
      <c r="A49" s="13" t="s">
        <v>73</v>
      </c>
      <c r="B49" s="17" t="s">
        <v>67</v>
      </c>
      <c r="C49" s="15">
        <v>3</v>
      </c>
      <c r="D49" s="16" t="s">
        <v>44</v>
      </c>
    </row>
    <row r="50" spans="1:4" ht="16.5" customHeight="1">
      <c r="A50" s="13" t="s">
        <v>74</v>
      </c>
      <c r="B50" s="17" t="s">
        <v>39</v>
      </c>
      <c r="C50" s="15">
        <v>1108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31.5" customHeight="1">
      <c r="A56" s="13" t="s">
        <v>82</v>
      </c>
      <c r="B56" s="24" t="s">
        <v>79</v>
      </c>
      <c r="C56" s="24"/>
      <c r="D56" s="13" t="s">
        <v>83</v>
      </c>
    </row>
    <row r="57" spans="1:4" ht="30.75" customHeight="1">
      <c r="A57" s="13" t="s">
        <v>84</v>
      </c>
      <c r="B57" s="24" t="s">
        <v>79</v>
      </c>
      <c r="C57" s="24"/>
      <c r="D57" s="13" t="s">
        <v>83</v>
      </c>
    </row>
    <row r="58" spans="1:4" ht="27.75" customHeight="1">
      <c r="A58" s="13" t="s">
        <v>85</v>
      </c>
      <c r="B58" s="24" t="s">
        <v>79</v>
      </c>
      <c r="C58" s="24"/>
      <c r="D58" s="13" t="s">
        <v>86</v>
      </c>
    </row>
    <row r="59" spans="1:4" ht="24.75" customHeight="1">
      <c r="A59" s="13" t="s">
        <v>87</v>
      </c>
      <c r="B59" s="24" t="s">
        <v>79</v>
      </c>
      <c r="C59" s="24"/>
      <c r="D59" s="13" t="s">
        <v>88</v>
      </c>
    </row>
    <row r="60" spans="1:4" ht="28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8.5" customHeight="1">
      <c r="A62" s="13" t="s">
        <v>91</v>
      </c>
      <c r="B62" s="24" t="s">
        <v>79</v>
      </c>
      <c r="C62" s="24"/>
      <c r="D62" s="13" t="s">
        <v>92</v>
      </c>
    </row>
    <row r="63" spans="1:4" ht="27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5.5" customHeight="1">
      <c r="A65" s="13" t="s">
        <v>96</v>
      </c>
      <c r="B65" s="24" t="s">
        <v>79</v>
      </c>
      <c r="C65" s="24"/>
      <c r="D65" s="13" t="s">
        <v>88</v>
      </c>
    </row>
    <row r="66" spans="1:4" ht="30.75" customHeight="1">
      <c r="A66" s="13" t="s">
        <v>97</v>
      </c>
      <c r="B66" s="24" t="s">
        <v>79</v>
      </c>
      <c r="C66" s="24"/>
      <c r="D66" s="13" t="s">
        <v>98</v>
      </c>
    </row>
    <row r="67" spans="1:4" ht="27.75" customHeight="1">
      <c r="A67" s="13" t="s">
        <v>99</v>
      </c>
      <c r="B67" s="24" t="s">
        <v>79</v>
      </c>
      <c r="C67" s="24"/>
      <c r="D67" s="13" t="s">
        <v>100</v>
      </c>
    </row>
    <row r="68" spans="1:4" ht="26.25" customHeight="1">
      <c r="A68" s="13" t="s">
        <v>101</v>
      </c>
      <c r="B68" s="24" t="s">
        <v>79</v>
      </c>
      <c r="C68" s="24"/>
      <c r="D68" s="13" t="s">
        <v>88</v>
      </c>
    </row>
    <row r="69" spans="1:4" ht="25.5" customHeight="1">
      <c r="A69" s="13" t="s">
        <v>102</v>
      </c>
      <c r="B69" s="24" t="s">
        <v>79</v>
      </c>
      <c r="C69" s="24"/>
      <c r="D69" s="13" t="s">
        <v>60</v>
      </c>
    </row>
    <row r="70" spans="1:4" ht="24.75" customHeight="1">
      <c r="A70" s="13" t="s">
        <v>103</v>
      </c>
      <c r="B70" s="24" t="s">
        <v>79</v>
      </c>
      <c r="C70" s="24"/>
      <c r="D70" s="13" t="s">
        <v>104</v>
      </c>
    </row>
    <row r="71" spans="1:4" ht="27.7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4.75" customHeight="1">
      <c r="A73" s="13" t="s">
        <v>89</v>
      </c>
      <c r="B73" s="24" t="s">
        <v>79</v>
      </c>
      <c r="C73" s="24"/>
      <c r="D73" s="13" t="s">
        <v>40</v>
      </c>
    </row>
    <row r="74" spans="1:4" ht="38.2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5" ht="27.75" customHeight="1">
      <c r="A76" s="13" t="s">
        <v>111</v>
      </c>
      <c r="B76" s="14" t="s">
        <v>112</v>
      </c>
      <c r="C76" s="15">
        <f>341*1.15*12</f>
        <v>4705.799999999999</v>
      </c>
      <c r="D76" s="32" t="s">
        <v>69</v>
      </c>
      <c r="E76" s="8"/>
    </row>
    <row r="77" spans="1:4" ht="17.25" customHeight="1">
      <c r="A77" s="13" t="s">
        <v>113</v>
      </c>
      <c r="B77" s="33" t="s">
        <v>112</v>
      </c>
      <c r="C77" s="15">
        <f>0.75*3*2*51</f>
        <v>229.5</v>
      </c>
      <c r="D77" s="32" t="s">
        <v>114</v>
      </c>
    </row>
    <row r="78" spans="1:7" ht="24.75" customHeight="1">
      <c r="A78" s="13" t="s">
        <v>115</v>
      </c>
      <c r="B78" s="14" t="s">
        <v>67</v>
      </c>
      <c r="C78" s="15">
        <v>3</v>
      </c>
      <c r="D78" s="32" t="s">
        <v>116</v>
      </c>
      <c r="F78" s="159"/>
      <c r="G78" s="94"/>
    </row>
    <row r="79" spans="1:7" ht="12.75" customHeight="1">
      <c r="A79" s="169" t="s">
        <v>117</v>
      </c>
      <c r="B79" s="169"/>
      <c r="C79" s="168"/>
      <c r="D79" s="30"/>
      <c r="F79" s="94"/>
      <c r="G79" s="94"/>
    </row>
    <row r="80" spans="1:7" ht="12.75">
      <c r="A80" s="35" t="s">
        <v>118</v>
      </c>
      <c r="B80" s="36"/>
      <c r="C80" s="38"/>
      <c r="D80" s="45"/>
      <c r="F80" s="94"/>
      <c r="G80" s="94"/>
    </row>
    <row r="81" spans="1:7" ht="12.75">
      <c r="A81" s="39" t="s">
        <v>119</v>
      </c>
      <c r="B81" s="40" t="s">
        <v>39</v>
      </c>
      <c r="C81" s="40">
        <f>12+12</f>
        <v>24</v>
      </c>
      <c r="D81" s="42"/>
      <c r="F81" s="94"/>
      <c r="G81" s="94"/>
    </row>
    <row r="82" spans="1:7" ht="12.75">
      <c r="A82" s="35" t="s">
        <v>235</v>
      </c>
      <c r="B82" s="36"/>
      <c r="C82" s="36"/>
      <c r="D82" s="45"/>
      <c r="F82" s="94"/>
      <c r="G82" s="94"/>
    </row>
    <row r="83" spans="1:7" ht="12.75">
      <c r="A83" s="88" t="s">
        <v>386</v>
      </c>
      <c r="B83" s="40" t="s">
        <v>67</v>
      </c>
      <c r="C83" s="40">
        <v>4</v>
      </c>
      <c r="D83" s="42"/>
      <c r="F83" s="94"/>
      <c r="G83" s="94"/>
    </row>
    <row r="84" spans="1:7" ht="12.75">
      <c r="A84" s="35" t="s">
        <v>467</v>
      </c>
      <c r="B84" s="36"/>
      <c r="C84" s="36"/>
      <c r="D84" s="45"/>
      <c r="F84" s="94"/>
      <c r="G84" s="94"/>
    </row>
    <row r="85" spans="1:7" ht="12.75">
      <c r="A85" s="43" t="s">
        <v>127</v>
      </c>
      <c r="B85" s="46" t="s">
        <v>67</v>
      </c>
      <c r="C85" s="40">
        <f>1+1</f>
        <v>2</v>
      </c>
      <c r="D85" s="42"/>
      <c r="F85" s="94"/>
      <c r="G85" s="94"/>
    </row>
    <row r="86" spans="1:7" ht="12.75">
      <c r="A86" s="43" t="s">
        <v>185</v>
      </c>
      <c r="B86" s="46" t="s">
        <v>67</v>
      </c>
      <c r="C86" s="41">
        <v>4</v>
      </c>
      <c r="D86" s="42"/>
      <c r="F86" s="94"/>
      <c r="G86" s="94"/>
    </row>
    <row r="87" spans="1:7" ht="12.75">
      <c r="A87" s="43" t="s">
        <v>128</v>
      </c>
      <c r="B87" s="46" t="s">
        <v>67</v>
      </c>
      <c r="C87" s="41">
        <v>3</v>
      </c>
      <c r="D87" s="42"/>
      <c r="F87" s="94"/>
      <c r="G87" s="94"/>
    </row>
    <row r="88" spans="1:7" ht="12.75">
      <c r="A88" s="43" t="s">
        <v>468</v>
      </c>
      <c r="B88" s="40" t="s">
        <v>67</v>
      </c>
      <c r="C88" s="41">
        <f>1+2</f>
        <v>3</v>
      </c>
      <c r="D88" s="42"/>
      <c r="F88" s="94"/>
      <c r="G88" s="94"/>
    </row>
    <row r="89" spans="1:7" ht="12.75">
      <c r="A89" s="43" t="s">
        <v>131</v>
      </c>
      <c r="B89" s="40" t="s">
        <v>67</v>
      </c>
      <c r="C89" s="41">
        <v>3</v>
      </c>
      <c r="D89" s="47" t="s">
        <v>130</v>
      </c>
      <c r="F89" s="94"/>
      <c r="G89" s="94"/>
    </row>
    <row r="90" spans="1:7" ht="12.75">
      <c r="A90" s="43" t="s">
        <v>266</v>
      </c>
      <c r="B90" s="46" t="s">
        <v>302</v>
      </c>
      <c r="C90" s="41">
        <f>1</f>
        <v>1</v>
      </c>
      <c r="D90" s="42"/>
      <c r="F90" s="94"/>
      <c r="G90" s="94"/>
    </row>
    <row r="91" spans="1:7" ht="12.75">
      <c r="A91" s="43" t="s">
        <v>189</v>
      </c>
      <c r="B91" s="40" t="s">
        <v>133</v>
      </c>
      <c r="C91" s="41">
        <f>3+3+6+6</f>
        <v>18</v>
      </c>
      <c r="D91" s="42"/>
      <c r="F91" s="94"/>
      <c r="G91" s="94"/>
    </row>
    <row r="92" spans="1:7" ht="12.75">
      <c r="A92" s="43" t="s">
        <v>190</v>
      </c>
      <c r="B92" s="40" t="s">
        <v>67</v>
      </c>
      <c r="C92" s="41">
        <f>1+1</f>
        <v>2</v>
      </c>
      <c r="D92" s="42"/>
      <c r="F92" s="94"/>
      <c r="G92" s="94"/>
    </row>
    <row r="93" spans="1:7" ht="12.75">
      <c r="A93" s="43" t="s">
        <v>134</v>
      </c>
      <c r="B93" s="40" t="s">
        <v>39</v>
      </c>
      <c r="C93" s="41">
        <f>0.7+0.4+0.8+1.2+2.4+1.2+0.6+0.6+0.4+1</f>
        <v>9.299999999999999</v>
      </c>
      <c r="D93" s="42"/>
      <c r="F93" s="94"/>
      <c r="G93" s="94"/>
    </row>
    <row r="94" spans="1:7" ht="12.75">
      <c r="A94" s="43" t="s">
        <v>552</v>
      </c>
      <c r="B94" s="40" t="s">
        <v>67</v>
      </c>
      <c r="C94" s="41">
        <f>5+4</f>
        <v>9</v>
      </c>
      <c r="D94" s="42"/>
      <c r="F94" s="94"/>
      <c r="G94" s="94"/>
    </row>
    <row r="95" spans="1:7" ht="12.75">
      <c r="A95" s="43" t="s">
        <v>553</v>
      </c>
      <c r="B95" s="40" t="s">
        <v>67</v>
      </c>
      <c r="C95" s="41">
        <f>1+1</f>
        <v>2</v>
      </c>
      <c r="D95" s="42"/>
      <c r="F95" s="94"/>
      <c r="G95" s="94"/>
    </row>
    <row r="96" spans="1:7" ht="12.75">
      <c r="A96" s="43" t="s">
        <v>554</v>
      </c>
      <c r="B96" s="40" t="s">
        <v>67</v>
      </c>
      <c r="C96" s="41">
        <v>4</v>
      </c>
      <c r="D96" s="42"/>
      <c r="F96" s="94"/>
      <c r="G96" s="94"/>
    </row>
    <row r="97" spans="1:7" ht="12.75">
      <c r="A97" s="88" t="s">
        <v>268</v>
      </c>
      <c r="B97" s="40" t="s">
        <v>67</v>
      </c>
      <c r="C97" s="40">
        <v>3</v>
      </c>
      <c r="D97" s="42"/>
      <c r="F97" s="94"/>
      <c r="G97" s="94"/>
    </row>
    <row r="98" spans="1:7" ht="12.75">
      <c r="A98" s="35" t="s">
        <v>137</v>
      </c>
      <c r="B98" s="48"/>
      <c r="C98" s="36"/>
      <c r="D98" s="45"/>
      <c r="F98" s="94"/>
      <c r="G98" s="94"/>
    </row>
    <row r="99" spans="1:7" ht="12.75">
      <c r="A99" s="39" t="s">
        <v>125</v>
      </c>
      <c r="B99" s="40" t="s">
        <v>67</v>
      </c>
      <c r="C99" s="41">
        <v>1</v>
      </c>
      <c r="D99" s="42"/>
      <c r="F99" s="94"/>
      <c r="G99" s="94"/>
    </row>
    <row r="100" spans="1:7" ht="12.75">
      <c r="A100" s="39" t="s">
        <v>476</v>
      </c>
      <c r="B100" s="40" t="s">
        <v>122</v>
      </c>
      <c r="C100" s="41">
        <v>3</v>
      </c>
      <c r="D100" s="42"/>
      <c r="F100" s="94"/>
      <c r="G100" s="94"/>
    </row>
    <row r="101" spans="1:7" ht="12.75">
      <c r="A101" s="35" t="s">
        <v>213</v>
      </c>
      <c r="B101" s="36"/>
      <c r="C101" s="36"/>
      <c r="D101" s="45"/>
      <c r="F101" s="94"/>
      <c r="G101" s="94"/>
    </row>
    <row r="102" spans="1:7" ht="12.75">
      <c r="A102" s="43" t="s">
        <v>184</v>
      </c>
      <c r="B102" s="41" t="s">
        <v>39</v>
      </c>
      <c r="C102" s="41">
        <v>6.6</v>
      </c>
      <c r="D102" s="42"/>
      <c r="F102" s="94"/>
      <c r="G102" s="94"/>
    </row>
    <row r="103" spans="1:7" ht="12.75">
      <c r="A103" s="80" t="s">
        <v>397</v>
      </c>
      <c r="B103" s="41" t="s">
        <v>39</v>
      </c>
      <c r="C103" s="41">
        <v>0.1</v>
      </c>
      <c r="D103" s="42"/>
      <c r="F103" s="94"/>
      <c r="G103" s="94"/>
    </row>
    <row r="104" spans="1:7" ht="12.75">
      <c r="A104" s="49" t="s">
        <v>141</v>
      </c>
      <c r="B104" s="36"/>
      <c r="C104" s="36"/>
      <c r="D104" s="45"/>
      <c r="F104" s="94"/>
      <c r="G104" s="94"/>
    </row>
    <row r="105" spans="1:7" ht="12.75">
      <c r="A105" s="51" t="s">
        <v>279</v>
      </c>
      <c r="B105" s="41" t="s">
        <v>67</v>
      </c>
      <c r="C105" s="41">
        <v>3</v>
      </c>
      <c r="D105" s="47" t="s">
        <v>130</v>
      </c>
      <c r="F105" s="94"/>
      <c r="G105" s="94"/>
    </row>
    <row r="106" spans="1:7" s="1" customFormat="1" ht="12.75">
      <c r="A106" s="51" t="s">
        <v>242</v>
      </c>
      <c r="B106" s="41" t="s">
        <v>67</v>
      </c>
      <c r="C106" s="41">
        <v>3</v>
      </c>
      <c r="D106" s="47" t="s">
        <v>337</v>
      </c>
      <c r="F106" s="95"/>
      <c r="G106" s="95"/>
    </row>
    <row r="107" spans="1:7" ht="12.75">
      <c r="A107" s="51" t="s">
        <v>142</v>
      </c>
      <c r="B107" s="41" t="s">
        <v>67</v>
      </c>
      <c r="C107" s="41">
        <f>1+1+1</f>
        <v>3</v>
      </c>
      <c r="D107" s="42"/>
      <c r="F107" s="94"/>
      <c r="G107" s="94"/>
    </row>
    <row r="108" spans="1:7" ht="12.75">
      <c r="A108" s="51" t="s">
        <v>143</v>
      </c>
      <c r="B108" s="40" t="s">
        <v>67</v>
      </c>
      <c r="C108" s="46">
        <f>6</f>
        <v>6</v>
      </c>
      <c r="D108" s="42"/>
      <c r="F108" s="94"/>
      <c r="G108" s="94"/>
    </row>
    <row r="109" spans="1:7" ht="12.75">
      <c r="A109" s="49" t="s">
        <v>145</v>
      </c>
      <c r="B109" s="36"/>
      <c r="C109" s="36"/>
      <c r="D109" s="45"/>
      <c r="F109" s="94"/>
      <c r="G109" s="94"/>
    </row>
    <row r="110" spans="1:7" ht="12.75">
      <c r="A110" s="52" t="s">
        <v>194</v>
      </c>
      <c r="B110" s="41" t="s">
        <v>133</v>
      </c>
      <c r="C110" s="40">
        <f>8.4</f>
        <v>8.4</v>
      </c>
      <c r="D110" s="42"/>
      <c r="F110" s="94"/>
      <c r="G110" s="94"/>
    </row>
    <row r="111" spans="1:7" ht="12.75">
      <c r="A111" s="52" t="s">
        <v>501</v>
      </c>
      <c r="B111" s="41" t="s">
        <v>112</v>
      </c>
      <c r="C111" s="40">
        <v>7</v>
      </c>
      <c r="D111" s="42"/>
      <c r="F111" s="94"/>
      <c r="G111" s="94"/>
    </row>
    <row r="112" spans="1:7" ht="12.75">
      <c r="A112" s="52" t="s">
        <v>149</v>
      </c>
      <c r="B112" s="40" t="s">
        <v>67</v>
      </c>
      <c r="C112" s="40">
        <v>3</v>
      </c>
      <c r="D112" s="42"/>
      <c r="F112" s="94"/>
      <c r="G112" s="94"/>
    </row>
    <row r="113" spans="1:7" ht="12.75">
      <c r="A113" s="52" t="s">
        <v>196</v>
      </c>
      <c r="B113" s="41" t="s">
        <v>67</v>
      </c>
      <c r="C113" s="40">
        <v>32</v>
      </c>
      <c r="D113" s="42"/>
      <c r="F113" s="94"/>
      <c r="G113" s="94"/>
    </row>
    <row r="114" spans="1:7" s="1" customFormat="1" ht="12.75">
      <c r="A114" s="52" t="s">
        <v>151</v>
      </c>
      <c r="B114" s="41" t="s">
        <v>39</v>
      </c>
      <c r="C114" s="40">
        <v>744</v>
      </c>
      <c r="D114" s="47" t="s">
        <v>130</v>
      </c>
      <c r="F114" s="95"/>
      <c r="G114" s="95"/>
    </row>
    <row r="115" spans="1:7" ht="12.75">
      <c r="A115" s="52" t="s">
        <v>197</v>
      </c>
      <c r="B115" s="41" t="s">
        <v>67</v>
      </c>
      <c r="C115" s="40">
        <f>3</f>
        <v>3</v>
      </c>
      <c r="D115" s="42"/>
      <c r="F115" s="94"/>
      <c r="G115" s="94"/>
    </row>
    <row r="116" spans="1:7" ht="12.75">
      <c r="A116" s="52" t="s">
        <v>152</v>
      </c>
      <c r="B116" s="41" t="s">
        <v>133</v>
      </c>
      <c r="C116" s="40"/>
      <c r="D116" s="42"/>
      <c r="F116" s="94"/>
      <c r="G116" s="94"/>
    </row>
    <row r="117" spans="1:7" ht="12.75">
      <c r="A117" s="53" t="s">
        <v>153</v>
      </c>
      <c r="B117" s="41" t="s">
        <v>67</v>
      </c>
      <c r="C117" s="40">
        <f>55</f>
        <v>55</v>
      </c>
      <c r="D117" s="42"/>
      <c r="F117" s="94"/>
      <c r="G117" s="94"/>
    </row>
    <row r="118" spans="1:7" ht="12.75">
      <c r="A118" s="52" t="s">
        <v>154</v>
      </c>
      <c r="B118" s="41" t="s">
        <v>67</v>
      </c>
      <c r="C118" s="40">
        <f>3+3</f>
        <v>6</v>
      </c>
      <c r="D118" s="42"/>
      <c r="F118" s="94"/>
      <c r="G118" s="94"/>
    </row>
    <row r="119" spans="1:7" ht="12.75">
      <c r="A119" s="52" t="s">
        <v>199</v>
      </c>
      <c r="B119" s="41" t="s">
        <v>67</v>
      </c>
      <c r="C119" s="40">
        <v>1</v>
      </c>
      <c r="D119" s="42"/>
      <c r="F119" s="94"/>
      <c r="G119" s="94"/>
    </row>
    <row r="120" spans="1:7" ht="12.75">
      <c r="A120" s="49" t="s">
        <v>157</v>
      </c>
      <c r="B120" s="36"/>
      <c r="C120" s="36"/>
      <c r="D120" s="45"/>
      <c r="F120" s="94"/>
      <c r="G120" s="94"/>
    </row>
    <row r="121" spans="1:7" ht="12.75">
      <c r="A121" s="51" t="s">
        <v>158</v>
      </c>
      <c r="B121" s="40" t="s">
        <v>67</v>
      </c>
      <c r="C121" s="40">
        <f>9</f>
        <v>9</v>
      </c>
      <c r="D121" s="42"/>
      <c r="F121" s="94"/>
      <c r="G121" s="94"/>
    </row>
    <row r="122" spans="1:7" s="1" customFormat="1" ht="12.75">
      <c r="A122" s="51" t="s">
        <v>202</v>
      </c>
      <c r="B122" s="41" t="s">
        <v>39</v>
      </c>
      <c r="C122" s="41">
        <v>108</v>
      </c>
      <c r="D122" s="81"/>
      <c r="F122" s="95"/>
      <c r="G122" s="95"/>
    </row>
    <row r="123" spans="1:7" ht="12.75">
      <c r="A123" s="51" t="s">
        <v>246</v>
      </c>
      <c r="B123" s="40" t="s">
        <v>122</v>
      </c>
      <c r="C123" s="40">
        <f>1+1</f>
        <v>2</v>
      </c>
      <c r="D123" s="42"/>
      <c r="F123" s="94"/>
      <c r="G123" s="94"/>
    </row>
    <row r="124" spans="1:7" ht="12.75">
      <c r="A124" s="51" t="s">
        <v>546</v>
      </c>
      <c r="B124" s="40" t="s">
        <v>67</v>
      </c>
      <c r="C124" s="40">
        <v>3</v>
      </c>
      <c r="D124" s="42"/>
      <c r="F124" s="94"/>
      <c r="G124" s="94"/>
    </row>
    <row r="125" spans="1:7" ht="12.75">
      <c r="A125" s="49" t="s">
        <v>161</v>
      </c>
      <c r="B125" s="36"/>
      <c r="C125" s="36"/>
      <c r="D125" s="45"/>
      <c r="F125" s="94"/>
      <c r="G125" s="94"/>
    </row>
    <row r="126" spans="1:7" ht="12.75">
      <c r="A126" s="179" t="s">
        <v>162</v>
      </c>
      <c r="B126" s="56" t="s">
        <v>39</v>
      </c>
      <c r="C126" s="56">
        <v>1108</v>
      </c>
      <c r="D126" s="68" t="s">
        <v>44</v>
      </c>
      <c r="F126" s="94"/>
      <c r="G126" s="94"/>
    </row>
    <row r="127" spans="1:7" ht="12.75">
      <c r="A127" s="54" t="s">
        <v>163</v>
      </c>
      <c r="B127" s="56" t="s">
        <v>39</v>
      </c>
      <c r="C127" s="56">
        <v>1108</v>
      </c>
      <c r="D127" s="89" t="s">
        <v>164</v>
      </c>
      <c r="F127" s="94"/>
      <c r="G127" s="94"/>
    </row>
    <row r="128" spans="1:7" ht="12.75">
      <c r="A128" s="49" t="s">
        <v>165</v>
      </c>
      <c r="B128" s="38"/>
      <c r="C128" s="61"/>
      <c r="D128" s="62"/>
      <c r="F128" s="94"/>
      <c r="G128" s="94"/>
    </row>
    <row r="129" spans="1:7" ht="12.75">
      <c r="A129" s="179" t="s">
        <v>162</v>
      </c>
      <c r="B129" s="56" t="s">
        <v>39</v>
      </c>
      <c r="C129" s="56">
        <f>1108+53.76</f>
        <v>1161.76</v>
      </c>
      <c r="D129" s="68" t="s">
        <v>44</v>
      </c>
      <c r="F129" s="94"/>
      <c r="G129" s="94"/>
    </row>
    <row r="130" spans="1:7" ht="12.75">
      <c r="A130" s="54" t="s">
        <v>163</v>
      </c>
      <c r="B130" s="56" t="s">
        <v>39</v>
      </c>
      <c r="C130" s="56">
        <f>1108+53.76</f>
        <v>1161.76</v>
      </c>
      <c r="D130" s="89" t="s">
        <v>164</v>
      </c>
      <c r="F130" s="94"/>
      <c r="G130" s="94"/>
    </row>
    <row r="131" spans="1:7" ht="12.75">
      <c r="A131" s="49" t="s">
        <v>166</v>
      </c>
      <c r="B131" s="38"/>
      <c r="C131" s="61"/>
      <c r="D131" s="62"/>
      <c r="F131" s="94"/>
      <c r="G131" s="94"/>
    </row>
    <row r="132" spans="1:7" ht="12.75">
      <c r="A132" s="179" t="s">
        <v>162</v>
      </c>
      <c r="B132" s="56" t="s">
        <v>39</v>
      </c>
      <c r="C132" s="56">
        <f>1108+576.7+603.5</f>
        <v>2288.2</v>
      </c>
      <c r="D132" s="68" t="s">
        <v>175</v>
      </c>
      <c r="F132" s="94"/>
      <c r="G132" s="94"/>
    </row>
    <row r="133" spans="1:7" ht="12.75">
      <c r="A133" s="54" t="s">
        <v>163</v>
      </c>
      <c r="B133" s="56" t="s">
        <v>39</v>
      </c>
      <c r="C133" s="56">
        <f>1108+576.7+603.5</f>
        <v>2288.2</v>
      </c>
      <c r="D133" s="89" t="s">
        <v>164</v>
      </c>
      <c r="F133" s="94"/>
      <c r="G133" s="94"/>
    </row>
    <row r="134" spans="1:7" ht="12.75">
      <c r="A134" s="49" t="s">
        <v>168</v>
      </c>
      <c r="B134" s="36"/>
      <c r="C134" s="116"/>
      <c r="D134" s="45"/>
      <c r="F134" s="94"/>
      <c r="G134" s="94"/>
    </row>
    <row r="135" spans="1:7" ht="12.75">
      <c r="A135" s="179" t="s">
        <v>169</v>
      </c>
      <c r="B135" s="55" t="s">
        <v>170</v>
      </c>
      <c r="C135" s="66" t="s">
        <v>171</v>
      </c>
      <c r="D135" s="68" t="s">
        <v>44</v>
      </c>
      <c r="E135" s="67"/>
      <c r="F135" s="94"/>
      <c r="G135" s="94"/>
    </row>
    <row r="136" spans="1:7" ht="12.75">
      <c r="A136" s="54" t="s">
        <v>172</v>
      </c>
      <c r="B136" s="55" t="s">
        <v>170</v>
      </c>
      <c r="C136" s="66" t="s">
        <v>555</v>
      </c>
      <c r="D136" s="47" t="s">
        <v>556</v>
      </c>
      <c r="F136" s="94"/>
      <c r="G136" s="94"/>
    </row>
    <row r="137" spans="1:7" ht="12.75">
      <c r="A137" s="69" t="s">
        <v>174</v>
      </c>
      <c r="B137" s="55" t="s">
        <v>170</v>
      </c>
      <c r="C137" s="55">
        <v>3</v>
      </c>
      <c r="D137" s="68" t="s">
        <v>175</v>
      </c>
      <c r="F137" s="94"/>
      <c r="G137" s="94"/>
    </row>
    <row r="138" spans="6:7" ht="12.75">
      <c r="F138" s="94"/>
      <c r="G138" s="94"/>
    </row>
    <row r="139" spans="6:7" ht="12.75">
      <c r="F139" s="94"/>
      <c r="G139" s="94"/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7875" bottom="0.5902777777777778" header="0.5118055555555555" footer="0.5118055555555555"/>
  <pageSetup horizontalDpi="300" verticalDpi="300" orientation="portrait" paperSize="9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4"/>
  </sheetPr>
  <dimension ref="A1:F140"/>
  <sheetViews>
    <sheetView workbookViewId="0" topLeftCell="A115">
      <selection activeCell="A143" sqref="A143"/>
    </sheetView>
  </sheetViews>
  <sheetFormatPr defaultColWidth="9.00390625" defaultRowHeight="12.75"/>
  <cols>
    <col min="1" max="1" width="49.125" style="0" customWidth="1"/>
    <col min="2" max="2" width="8.75390625" style="0" customWidth="1"/>
    <col min="3" max="3" width="16.125" style="0" customWidth="1"/>
    <col min="4" max="4" width="20.625" style="0" customWidth="1"/>
    <col min="6" max="6" width="10.7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557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558</v>
      </c>
    </row>
    <row r="8" spans="1:3" ht="12.75">
      <c r="A8" t="s">
        <v>7</v>
      </c>
      <c r="C8" s="4" t="s">
        <v>559</v>
      </c>
    </row>
    <row r="9" spans="1:3" ht="12.75">
      <c r="A9" t="s">
        <v>9</v>
      </c>
      <c r="C9" s="7" t="s">
        <v>560</v>
      </c>
    </row>
    <row r="10" ht="12.75">
      <c r="C10" s="7"/>
    </row>
    <row r="11" spans="1:3" ht="12.75">
      <c r="A11" t="s">
        <v>11</v>
      </c>
      <c r="C11" s="7" t="s">
        <v>561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24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71">
        <v>0.8849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80"/>
      <c r="B27" s="180"/>
      <c r="C27" s="180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1456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1456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1275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117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350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73">
        <v>1456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437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>
        <v>4</v>
      </c>
      <c r="D36" s="16" t="s">
        <v>55</v>
      </c>
    </row>
    <row r="37" spans="1:4" ht="27.75" customHeight="1">
      <c r="A37" s="13" t="s">
        <v>56</v>
      </c>
      <c r="B37" s="17" t="s">
        <v>39</v>
      </c>
      <c r="C37" s="15">
        <v>4</v>
      </c>
      <c r="D37" s="16" t="s">
        <v>57</v>
      </c>
    </row>
    <row r="38" spans="1:4" ht="27.75" customHeight="1">
      <c r="A38" s="13"/>
      <c r="B38" s="17" t="s">
        <v>39</v>
      </c>
      <c r="C38" s="15">
        <v>4</v>
      </c>
      <c r="D38" s="16" t="s">
        <v>58</v>
      </c>
    </row>
    <row r="39" spans="1:4" ht="12.75">
      <c r="A39" s="13" t="s">
        <v>59</v>
      </c>
      <c r="B39" s="17" t="s">
        <v>39</v>
      </c>
      <c r="C39" s="15">
        <v>36</v>
      </c>
      <c r="D39" s="16" t="s">
        <v>60</v>
      </c>
    </row>
    <row r="40" spans="1:4" ht="14.25" customHeight="1">
      <c r="A40" s="13" t="s">
        <v>61</v>
      </c>
      <c r="B40" s="17" t="s">
        <v>39</v>
      </c>
      <c r="C40" s="15">
        <v>1472.4</v>
      </c>
      <c r="D40" s="16" t="s">
        <v>46</v>
      </c>
    </row>
    <row r="41" spans="1:4" ht="27" customHeight="1">
      <c r="A41" s="13" t="s">
        <v>62</v>
      </c>
      <c r="B41" s="17" t="s">
        <v>39</v>
      </c>
      <c r="C41" s="73">
        <v>1456</v>
      </c>
      <c r="D41" s="16" t="s">
        <v>53</v>
      </c>
    </row>
    <row r="42" spans="1:4" ht="15" customHeight="1">
      <c r="A42" s="13" t="s">
        <v>63</v>
      </c>
      <c r="B42" s="17" t="s">
        <v>39</v>
      </c>
      <c r="C42" s="15">
        <v>4</v>
      </c>
      <c r="D42" s="16" t="s">
        <v>44</v>
      </c>
    </row>
    <row r="43" spans="1:4" ht="15" customHeight="1">
      <c r="A43" s="13" t="s">
        <v>64</v>
      </c>
      <c r="B43" s="17" t="s">
        <v>39</v>
      </c>
      <c r="C43" s="15">
        <v>161</v>
      </c>
      <c r="D43" s="16" t="s">
        <v>44</v>
      </c>
    </row>
    <row r="44" spans="1:4" ht="31.5" customHeight="1">
      <c r="A44" s="13" t="s">
        <v>65</v>
      </c>
      <c r="B44" s="17" t="s">
        <v>39</v>
      </c>
      <c r="C44" s="15">
        <v>48</v>
      </c>
      <c r="D44" s="16" t="s">
        <v>53</v>
      </c>
    </row>
    <row r="45" spans="1:4" ht="15.75" customHeight="1">
      <c r="A45" s="13" t="s">
        <v>66</v>
      </c>
      <c r="B45" s="17" t="s">
        <v>67</v>
      </c>
      <c r="C45" s="15">
        <v>4</v>
      </c>
      <c r="D45" s="16" t="s">
        <v>60</v>
      </c>
    </row>
    <row r="46" spans="1:4" ht="33" customHeight="1">
      <c r="A46" s="13" t="s">
        <v>68</v>
      </c>
      <c r="B46" s="17" t="s">
        <v>67</v>
      </c>
      <c r="C46" s="15">
        <v>4</v>
      </c>
      <c r="D46" s="16" t="s">
        <v>69</v>
      </c>
    </row>
    <row r="47" spans="1:4" ht="17.25" customHeight="1">
      <c r="A47" s="13" t="s">
        <v>70</v>
      </c>
      <c r="B47" s="17" t="s">
        <v>39</v>
      </c>
      <c r="C47" s="15">
        <v>20</v>
      </c>
      <c r="D47" s="16" t="s">
        <v>71</v>
      </c>
    </row>
    <row r="48" spans="1:4" ht="26.25" customHeight="1">
      <c r="A48" s="13" t="s">
        <v>72</v>
      </c>
      <c r="B48" s="17" t="s">
        <v>39</v>
      </c>
      <c r="C48" s="15">
        <f>1*1.88*8*4</f>
        <v>60.16</v>
      </c>
      <c r="D48" s="16" t="s">
        <v>53</v>
      </c>
    </row>
    <row r="49" spans="1:4" ht="17.25" customHeight="1">
      <c r="A49" s="13" t="s">
        <v>73</v>
      </c>
      <c r="B49" s="17" t="s">
        <v>67</v>
      </c>
      <c r="C49" s="15">
        <v>4</v>
      </c>
      <c r="D49" s="16" t="s">
        <v>44</v>
      </c>
    </row>
    <row r="50" spans="1:4" ht="16.5" customHeight="1">
      <c r="A50" s="13" t="s">
        <v>74</v>
      </c>
      <c r="B50" s="17" t="s">
        <v>39</v>
      </c>
      <c r="C50" s="15">
        <v>1472.4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42" customHeight="1">
      <c r="A54" s="13" t="s">
        <v>78</v>
      </c>
      <c r="B54" s="24" t="s">
        <v>79</v>
      </c>
      <c r="C54" s="24"/>
      <c r="D54" s="13" t="s">
        <v>80</v>
      </c>
    </row>
    <row r="55" spans="1:4" ht="39" customHeight="1">
      <c r="A55" s="13" t="s">
        <v>81</v>
      </c>
      <c r="B55" s="24" t="s">
        <v>79</v>
      </c>
      <c r="C55" s="24"/>
      <c r="D55" s="13" t="s">
        <v>80</v>
      </c>
    </row>
    <row r="56" spans="1:4" ht="36.75" customHeight="1">
      <c r="A56" s="13" t="s">
        <v>82</v>
      </c>
      <c r="B56" s="24" t="s">
        <v>79</v>
      </c>
      <c r="C56" s="24"/>
      <c r="D56" s="13" t="s">
        <v>83</v>
      </c>
    </row>
    <row r="57" spans="1:4" ht="35.25" customHeight="1">
      <c r="A57" s="13" t="s">
        <v>84</v>
      </c>
      <c r="B57" s="24" t="s">
        <v>79</v>
      </c>
      <c r="C57" s="24"/>
      <c r="D57" s="13" t="s">
        <v>83</v>
      </c>
    </row>
    <row r="58" spans="1:4" ht="34.5" customHeight="1">
      <c r="A58" s="13" t="s">
        <v>85</v>
      </c>
      <c r="B58" s="24" t="s">
        <v>79</v>
      </c>
      <c r="C58" s="24"/>
      <c r="D58" s="13" t="s">
        <v>86</v>
      </c>
    </row>
    <row r="59" spans="1:4" ht="27.75" customHeight="1">
      <c r="A59" s="13" t="s">
        <v>87</v>
      </c>
      <c r="B59" s="24" t="s">
        <v>79</v>
      </c>
      <c r="C59" s="24"/>
      <c r="D59" s="13" t="s">
        <v>88</v>
      </c>
    </row>
    <row r="60" spans="1:4" ht="30" customHeight="1">
      <c r="A60" s="13" t="s">
        <v>89</v>
      </c>
      <c r="B60" s="24" t="s">
        <v>79</v>
      </c>
      <c r="C60" s="24"/>
      <c r="D60" s="13" t="s">
        <v>40</v>
      </c>
    </row>
    <row r="61" spans="1:4" ht="31.5" customHeight="1">
      <c r="A61" s="13" t="s">
        <v>90</v>
      </c>
      <c r="B61" s="24" t="s">
        <v>79</v>
      </c>
      <c r="C61" s="24"/>
      <c r="D61" s="13" t="s">
        <v>88</v>
      </c>
    </row>
    <row r="62" spans="1:4" ht="38.25" customHeight="1">
      <c r="A62" s="13" t="s">
        <v>91</v>
      </c>
      <c r="B62" s="24" t="s">
        <v>79</v>
      </c>
      <c r="C62" s="24"/>
      <c r="D62" s="13" t="s">
        <v>92</v>
      </c>
    </row>
    <row r="63" spans="1:4" ht="39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36.75" customHeight="1">
      <c r="A65" s="13" t="s">
        <v>96</v>
      </c>
      <c r="B65" s="24" t="s">
        <v>79</v>
      </c>
      <c r="C65" s="24"/>
      <c r="D65" s="13" t="s">
        <v>88</v>
      </c>
    </row>
    <row r="66" spans="1:4" ht="38.25" customHeight="1">
      <c r="A66" s="13" t="s">
        <v>97</v>
      </c>
      <c r="B66" s="24" t="s">
        <v>79</v>
      </c>
      <c r="C66" s="24"/>
      <c r="D66" s="13" t="s">
        <v>98</v>
      </c>
    </row>
    <row r="67" spans="1:4" ht="38.25" customHeight="1">
      <c r="A67" s="13" t="s">
        <v>99</v>
      </c>
      <c r="B67" s="24" t="s">
        <v>79</v>
      </c>
      <c r="C67" s="24"/>
      <c r="D67" s="13" t="s">
        <v>100</v>
      </c>
    </row>
    <row r="68" spans="1:4" ht="29.25" customHeight="1">
      <c r="A68" s="13" t="s">
        <v>101</v>
      </c>
      <c r="B68" s="24" t="s">
        <v>79</v>
      </c>
      <c r="C68" s="24"/>
      <c r="D68" s="13" t="s">
        <v>88</v>
      </c>
    </row>
    <row r="69" spans="1:4" ht="33.75" customHeight="1">
      <c r="A69" s="13" t="s">
        <v>102</v>
      </c>
      <c r="B69" s="24" t="s">
        <v>79</v>
      </c>
      <c r="C69" s="24"/>
      <c r="D69" s="13" t="s">
        <v>60</v>
      </c>
    </row>
    <row r="70" spans="1:4" ht="39.75" customHeight="1">
      <c r="A70" s="13" t="s">
        <v>103</v>
      </c>
      <c r="B70" s="24" t="s">
        <v>79</v>
      </c>
      <c r="C70" s="24"/>
      <c r="D70" s="13" t="s">
        <v>104</v>
      </c>
    </row>
    <row r="71" spans="1:4" ht="36" customHeight="1">
      <c r="A71" s="13" t="s">
        <v>105</v>
      </c>
      <c r="B71" s="24" t="s">
        <v>79</v>
      </c>
      <c r="C71" s="24"/>
      <c r="D71" s="13" t="s">
        <v>106</v>
      </c>
    </row>
    <row r="72" spans="1:4" ht="40.5" customHeight="1">
      <c r="A72" s="13" t="s">
        <v>107</v>
      </c>
      <c r="B72" s="24" t="s">
        <v>79</v>
      </c>
      <c r="C72" s="24"/>
      <c r="D72" s="13" t="s">
        <v>108</v>
      </c>
    </row>
    <row r="73" spans="1:4" ht="39.75" customHeight="1">
      <c r="A73" s="13" t="s">
        <v>89</v>
      </c>
      <c r="B73" s="24" t="s">
        <v>79</v>
      </c>
      <c r="C73" s="24"/>
      <c r="D73" s="13" t="s">
        <v>40</v>
      </c>
    </row>
    <row r="74" spans="1:4" ht="39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5" ht="27.75" customHeight="1">
      <c r="A76" s="13" t="s">
        <v>111</v>
      </c>
      <c r="B76" s="14" t="s">
        <v>112</v>
      </c>
      <c r="C76" s="15">
        <f>395*1.15*12</f>
        <v>5450.999999999999</v>
      </c>
      <c r="D76" s="32" t="s">
        <v>69</v>
      </c>
      <c r="E76" s="8"/>
    </row>
    <row r="77" spans="1:4" ht="17.25" customHeight="1">
      <c r="A77" s="13" t="s">
        <v>113</v>
      </c>
      <c r="B77" s="33" t="s">
        <v>112</v>
      </c>
      <c r="C77" s="15">
        <f>0.75*4*2*51</f>
        <v>306</v>
      </c>
      <c r="D77" s="32" t="s">
        <v>114</v>
      </c>
    </row>
    <row r="78" spans="1:6" ht="24.75" customHeight="1">
      <c r="A78" s="13" t="s">
        <v>115</v>
      </c>
      <c r="B78" s="14" t="s">
        <v>67</v>
      </c>
      <c r="C78" s="15">
        <v>4</v>
      </c>
      <c r="D78" s="32" t="s">
        <v>116</v>
      </c>
      <c r="F78" s="159"/>
    </row>
    <row r="79" spans="1:4" ht="12.75" customHeight="1">
      <c r="A79" s="18" t="s">
        <v>117</v>
      </c>
      <c r="B79" s="18"/>
      <c r="C79" s="181"/>
      <c r="D79" s="19"/>
    </row>
    <row r="80" spans="1:4" ht="12.75">
      <c r="A80" s="35" t="s">
        <v>118</v>
      </c>
      <c r="B80" s="36"/>
      <c r="C80" s="61"/>
      <c r="D80" s="45"/>
    </row>
    <row r="81" spans="1:4" ht="12.75">
      <c r="A81" s="39" t="s">
        <v>119</v>
      </c>
      <c r="B81" s="40" t="s">
        <v>39</v>
      </c>
      <c r="C81" s="40">
        <f>16</f>
        <v>16</v>
      </c>
      <c r="D81" s="42"/>
    </row>
    <row r="82" spans="1:4" ht="12.75">
      <c r="A82" s="35" t="s">
        <v>235</v>
      </c>
      <c r="B82" s="36"/>
      <c r="C82" s="36"/>
      <c r="D82" s="45"/>
    </row>
    <row r="83" spans="1:4" ht="12.75">
      <c r="A83" s="88" t="s">
        <v>562</v>
      </c>
      <c r="B83" s="40" t="s">
        <v>133</v>
      </c>
      <c r="C83" s="40">
        <v>16</v>
      </c>
      <c r="D83" s="42"/>
    </row>
    <row r="84" spans="1:4" ht="12.75">
      <c r="A84" s="35" t="s">
        <v>467</v>
      </c>
      <c r="B84" s="36"/>
      <c r="C84" s="36"/>
      <c r="D84" s="45"/>
    </row>
    <row r="85" spans="1:4" ht="12.75">
      <c r="A85" s="43" t="s">
        <v>127</v>
      </c>
      <c r="B85" s="46" t="s">
        <v>67</v>
      </c>
      <c r="C85" s="40">
        <f>1+3+2+1+4</f>
        <v>11</v>
      </c>
      <c r="D85" s="42"/>
    </row>
    <row r="86" spans="1:4" ht="12.75">
      <c r="A86" s="43" t="s">
        <v>185</v>
      </c>
      <c r="B86" s="46" t="s">
        <v>67</v>
      </c>
      <c r="C86" s="41">
        <f>1+3+3</f>
        <v>7</v>
      </c>
      <c r="D86" s="42"/>
    </row>
    <row r="87" spans="1:4" ht="12.75">
      <c r="A87" s="43" t="s">
        <v>128</v>
      </c>
      <c r="B87" s="46" t="s">
        <v>67</v>
      </c>
      <c r="C87" s="41">
        <v>1</v>
      </c>
      <c r="D87" s="42"/>
    </row>
    <row r="88" spans="1:4" ht="12.75">
      <c r="A88" s="43" t="s">
        <v>468</v>
      </c>
      <c r="B88" s="40" t="s">
        <v>67</v>
      </c>
      <c r="C88" s="41">
        <f>4</f>
        <v>4</v>
      </c>
      <c r="D88" s="42"/>
    </row>
    <row r="89" spans="1:4" ht="12.75">
      <c r="A89" s="43" t="s">
        <v>131</v>
      </c>
      <c r="B89" s="40" t="s">
        <v>67</v>
      </c>
      <c r="C89" s="41">
        <f>1+1+2</f>
        <v>4</v>
      </c>
      <c r="D89" s="42"/>
    </row>
    <row r="90" spans="1:4" ht="12.75">
      <c r="A90" s="43" t="s">
        <v>397</v>
      </c>
      <c r="B90" s="40" t="s">
        <v>39</v>
      </c>
      <c r="C90" s="41">
        <f>0.2</f>
        <v>0.2</v>
      </c>
      <c r="D90" s="42"/>
    </row>
    <row r="91" spans="1:4" ht="12.75">
      <c r="A91" s="43" t="s">
        <v>189</v>
      </c>
      <c r="B91" s="40" t="s">
        <v>133</v>
      </c>
      <c r="C91" s="41">
        <f>6</f>
        <v>6</v>
      </c>
      <c r="D91" s="42"/>
    </row>
    <row r="92" spans="1:4" ht="12.75">
      <c r="A92" s="43" t="s">
        <v>190</v>
      </c>
      <c r="B92" s="40" t="s">
        <v>67</v>
      </c>
      <c r="C92" s="41">
        <f>1+1+1</f>
        <v>3</v>
      </c>
      <c r="D92" s="42"/>
    </row>
    <row r="93" spans="1:4" ht="12.75">
      <c r="A93" s="43" t="s">
        <v>134</v>
      </c>
      <c r="B93" s="40" t="s">
        <v>39</v>
      </c>
      <c r="C93" s="41">
        <f>10</f>
        <v>10</v>
      </c>
      <c r="D93" s="42"/>
    </row>
    <row r="94" spans="1:4" ht="12.75">
      <c r="A94" s="88" t="s">
        <v>268</v>
      </c>
      <c r="B94" s="40" t="s">
        <v>67</v>
      </c>
      <c r="C94" s="40">
        <v>4</v>
      </c>
      <c r="D94" s="42"/>
    </row>
    <row r="95" spans="1:4" ht="12.75">
      <c r="A95" s="35" t="s">
        <v>238</v>
      </c>
      <c r="B95" s="36"/>
      <c r="C95" s="36"/>
      <c r="D95" s="45"/>
    </row>
    <row r="96" spans="1:4" ht="12.75">
      <c r="A96" s="43" t="s">
        <v>475</v>
      </c>
      <c r="B96" s="40" t="s">
        <v>133</v>
      </c>
      <c r="C96" s="40">
        <f>29.6+14.9+27.6+5</f>
        <v>77.1</v>
      </c>
      <c r="D96" s="42"/>
    </row>
    <row r="97" spans="1:4" ht="12.75">
      <c r="A97" s="35" t="s">
        <v>137</v>
      </c>
      <c r="B97" s="48"/>
      <c r="C97" s="36"/>
      <c r="D97" s="45"/>
    </row>
    <row r="98" spans="1:4" ht="12.75">
      <c r="A98" s="39" t="s">
        <v>125</v>
      </c>
      <c r="B98" s="40" t="s">
        <v>67</v>
      </c>
      <c r="C98" s="40">
        <f>1</f>
        <v>1</v>
      </c>
      <c r="D98" s="42"/>
    </row>
    <row r="99" spans="1:4" ht="12.75">
      <c r="A99" s="39" t="s">
        <v>476</v>
      </c>
      <c r="B99" s="40" t="s">
        <v>122</v>
      </c>
      <c r="C99" s="41">
        <v>4</v>
      </c>
      <c r="D99" s="42"/>
    </row>
    <row r="100" spans="1:4" ht="12.75">
      <c r="A100" s="39" t="s">
        <v>563</v>
      </c>
      <c r="B100" s="40" t="s">
        <v>122</v>
      </c>
      <c r="C100" s="40">
        <v>4</v>
      </c>
      <c r="D100" s="42"/>
    </row>
    <row r="101" spans="1:4" ht="12.75">
      <c r="A101" s="35" t="s">
        <v>139</v>
      </c>
      <c r="B101" s="36"/>
      <c r="C101" s="36"/>
      <c r="D101" s="45"/>
    </row>
    <row r="102" spans="1:4" ht="12.75">
      <c r="A102" s="39" t="s">
        <v>140</v>
      </c>
      <c r="B102" s="40" t="s">
        <v>39</v>
      </c>
      <c r="C102" s="41">
        <v>5</v>
      </c>
      <c r="D102" s="42"/>
    </row>
    <row r="103" spans="1:4" ht="12.75">
      <c r="A103" s="35" t="s">
        <v>213</v>
      </c>
      <c r="B103" s="36"/>
      <c r="C103" s="36"/>
      <c r="D103" s="45"/>
    </row>
    <row r="104" spans="1:4" ht="12.75">
      <c r="A104" s="43" t="s">
        <v>270</v>
      </c>
      <c r="B104" s="41" t="s">
        <v>67</v>
      </c>
      <c r="C104" s="41">
        <v>4</v>
      </c>
      <c r="D104" s="42"/>
    </row>
    <row r="105" spans="1:4" ht="12.75">
      <c r="A105" s="43" t="s">
        <v>564</v>
      </c>
      <c r="B105" s="41" t="s">
        <v>302</v>
      </c>
      <c r="C105" s="41">
        <v>1</v>
      </c>
      <c r="D105" s="42"/>
    </row>
    <row r="106" spans="1:4" ht="12.75">
      <c r="A106" s="49" t="s">
        <v>141</v>
      </c>
      <c r="B106" s="36"/>
      <c r="C106" s="36"/>
      <c r="D106" s="45"/>
    </row>
    <row r="107" spans="1:4" ht="12.75">
      <c r="A107" s="52" t="s">
        <v>256</v>
      </c>
      <c r="B107" s="40" t="s">
        <v>133</v>
      </c>
      <c r="C107" s="41">
        <f>15</f>
        <v>15</v>
      </c>
      <c r="D107" s="42"/>
    </row>
    <row r="108" spans="1:4" ht="12.75">
      <c r="A108" s="51" t="s">
        <v>279</v>
      </c>
      <c r="B108" s="41" t="s">
        <v>67</v>
      </c>
      <c r="C108" s="41">
        <v>4</v>
      </c>
      <c r="D108" s="47" t="s">
        <v>130</v>
      </c>
    </row>
    <row r="109" spans="1:4" s="1" customFormat="1" ht="12.75">
      <c r="A109" s="51" t="s">
        <v>242</v>
      </c>
      <c r="B109" s="41" t="s">
        <v>67</v>
      </c>
      <c r="C109" s="41">
        <v>4</v>
      </c>
      <c r="D109" s="47" t="s">
        <v>186</v>
      </c>
    </row>
    <row r="110" spans="1:4" ht="12.75">
      <c r="A110" s="51" t="s">
        <v>143</v>
      </c>
      <c r="B110" s="40" t="s">
        <v>67</v>
      </c>
      <c r="C110" s="46">
        <f>8</f>
        <v>8</v>
      </c>
      <c r="D110" s="42"/>
    </row>
    <row r="111" spans="1:4" ht="12.75">
      <c r="A111" s="49" t="s">
        <v>145</v>
      </c>
      <c r="B111" s="36"/>
      <c r="C111" s="36"/>
      <c r="D111" s="45"/>
    </row>
    <row r="112" spans="1:4" ht="12.75">
      <c r="A112" s="52" t="s">
        <v>194</v>
      </c>
      <c r="B112" s="41" t="s">
        <v>133</v>
      </c>
      <c r="C112" s="40">
        <f>2.8</f>
        <v>2.8</v>
      </c>
      <c r="D112" s="42"/>
    </row>
    <row r="113" spans="1:4" ht="12.75">
      <c r="A113" s="52" t="s">
        <v>565</v>
      </c>
      <c r="B113" s="41" t="s">
        <v>112</v>
      </c>
      <c r="C113" s="40">
        <v>7</v>
      </c>
      <c r="D113" s="42"/>
    </row>
    <row r="114" spans="1:4" ht="12.75">
      <c r="A114" s="52" t="s">
        <v>479</v>
      </c>
      <c r="B114" s="40" t="s">
        <v>67</v>
      </c>
      <c r="C114" s="40">
        <v>4</v>
      </c>
      <c r="D114" s="42"/>
    </row>
    <row r="115" spans="1:4" ht="12.75">
      <c r="A115" s="52" t="s">
        <v>149</v>
      </c>
      <c r="B115" s="40" t="s">
        <v>67</v>
      </c>
      <c r="C115" s="40">
        <v>4</v>
      </c>
      <c r="D115" s="42"/>
    </row>
    <row r="116" spans="1:4" ht="12.75">
      <c r="A116" s="52" t="s">
        <v>196</v>
      </c>
      <c r="B116" s="41" t="s">
        <v>67</v>
      </c>
      <c r="C116" s="40">
        <v>26</v>
      </c>
      <c r="D116" s="42"/>
    </row>
    <row r="117" spans="1:4" s="1" customFormat="1" ht="12.75">
      <c r="A117" s="52" t="s">
        <v>151</v>
      </c>
      <c r="B117" s="41" t="s">
        <v>39</v>
      </c>
      <c r="C117" s="40">
        <f>1586</f>
        <v>1586</v>
      </c>
      <c r="D117" s="47" t="s">
        <v>130</v>
      </c>
    </row>
    <row r="118" spans="1:4" ht="12.75">
      <c r="A118" s="52" t="s">
        <v>197</v>
      </c>
      <c r="B118" s="41" t="s">
        <v>67</v>
      </c>
      <c r="C118" s="40">
        <f>1</f>
        <v>1</v>
      </c>
      <c r="D118" s="42"/>
    </row>
    <row r="119" spans="1:4" ht="12.75">
      <c r="A119" s="52" t="s">
        <v>152</v>
      </c>
      <c r="B119" s="41" t="s">
        <v>133</v>
      </c>
      <c r="C119" s="40"/>
      <c r="D119" s="42"/>
    </row>
    <row r="120" spans="1:4" ht="12.75">
      <c r="A120" s="53" t="s">
        <v>153</v>
      </c>
      <c r="B120" s="41" t="s">
        <v>67</v>
      </c>
      <c r="C120" s="40">
        <f>19</f>
        <v>19</v>
      </c>
      <c r="D120" s="42"/>
    </row>
    <row r="121" spans="1:4" ht="12.75">
      <c r="A121" s="52" t="s">
        <v>198</v>
      </c>
      <c r="B121" s="41" t="s">
        <v>67</v>
      </c>
      <c r="C121" s="40">
        <v>2</v>
      </c>
      <c r="D121" s="42"/>
    </row>
    <row r="122" spans="1:4" ht="12.75">
      <c r="A122" s="52" t="s">
        <v>154</v>
      </c>
      <c r="B122" s="41" t="s">
        <v>67</v>
      </c>
      <c r="C122" s="40">
        <v>4</v>
      </c>
      <c r="D122" s="42"/>
    </row>
    <row r="123" spans="1:4" ht="12.75">
      <c r="A123" s="49" t="s">
        <v>157</v>
      </c>
      <c r="B123" s="36"/>
      <c r="C123" s="36"/>
      <c r="D123" s="45"/>
    </row>
    <row r="124" spans="1:4" ht="12.75">
      <c r="A124" s="51" t="s">
        <v>158</v>
      </c>
      <c r="B124" s="40" t="s">
        <v>67</v>
      </c>
      <c r="C124" s="40">
        <f>10</f>
        <v>10</v>
      </c>
      <c r="D124" s="42"/>
    </row>
    <row r="125" spans="1:4" s="1" customFormat="1" ht="12.75">
      <c r="A125" s="51" t="s">
        <v>202</v>
      </c>
      <c r="B125" s="41" t="s">
        <v>39</v>
      </c>
      <c r="C125" s="41">
        <v>360</v>
      </c>
      <c r="D125" s="47"/>
    </row>
    <row r="126" spans="1:4" ht="12.75">
      <c r="A126" s="51" t="s">
        <v>246</v>
      </c>
      <c r="B126" s="40" t="s">
        <v>122</v>
      </c>
      <c r="C126" s="40">
        <f>4+1</f>
        <v>5</v>
      </c>
      <c r="D126" s="42"/>
    </row>
    <row r="127" spans="1:4" ht="12.75">
      <c r="A127" s="51" t="s">
        <v>546</v>
      </c>
      <c r="B127" s="40" t="s">
        <v>67</v>
      </c>
      <c r="C127" s="40">
        <v>4</v>
      </c>
      <c r="D127" s="42"/>
    </row>
    <row r="128" spans="1:4" ht="12.75">
      <c r="A128" s="49" t="s">
        <v>161</v>
      </c>
      <c r="B128" s="36"/>
      <c r="C128" s="36"/>
      <c r="D128" s="45"/>
    </row>
    <row r="129" spans="1:4" ht="12.75">
      <c r="A129" s="54" t="s">
        <v>162</v>
      </c>
      <c r="B129" s="56" t="s">
        <v>39</v>
      </c>
      <c r="C129" s="182">
        <v>1472.4</v>
      </c>
      <c r="D129" s="68" t="s">
        <v>44</v>
      </c>
    </row>
    <row r="130" spans="1:4" ht="12.75">
      <c r="A130" s="54" t="s">
        <v>163</v>
      </c>
      <c r="B130" s="56" t="s">
        <v>39</v>
      </c>
      <c r="C130" s="182">
        <v>1472.4</v>
      </c>
      <c r="D130" s="89" t="s">
        <v>164</v>
      </c>
    </row>
    <row r="131" spans="1:4" ht="12.75">
      <c r="A131" s="49" t="s">
        <v>165</v>
      </c>
      <c r="B131" s="38"/>
      <c r="C131" s="61"/>
      <c r="D131" s="62"/>
    </row>
    <row r="132" spans="1:4" ht="12.75">
      <c r="A132" s="54" t="s">
        <v>162</v>
      </c>
      <c r="B132" s="56" t="s">
        <v>39</v>
      </c>
      <c r="C132" s="182">
        <f>1472.4+107.52</f>
        <v>1579.92</v>
      </c>
      <c r="D132" s="68" t="s">
        <v>44</v>
      </c>
    </row>
    <row r="133" spans="1:4" ht="12.75">
      <c r="A133" s="54" t="s">
        <v>163</v>
      </c>
      <c r="B133" s="56" t="s">
        <v>39</v>
      </c>
      <c r="C133" s="182">
        <f>1472.4+107.52</f>
        <v>1579.92</v>
      </c>
      <c r="D133" s="89" t="s">
        <v>164</v>
      </c>
    </row>
    <row r="134" spans="1:4" ht="12.75">
      <c r="A134" s="49" t="s">
        <v>166</v>
      </c>
      <c r="B134" s="38"/>
      <c r="C134" s="61"/>
      <c r="D134" s="62"/>
    </row>
    <row r="135" spans="1:4" ht="12.75">
      <c r="A135" s="54" t="s">
        <v>162</v>
      </c>
      <c r="B135" s="56" t="s">
        <v>39</v>
      </c>
      <c r="C135" s="56">
        <f>1472.4+363.6+330.6+242.1+444.2</f>
        <v>2852.8999999999996</v>
      </c>
      <c r="D135" s="68" t="s">
        <v>175</v>
      </c>
    </row>
    <row r="136" spans="1:4" ht="12.75">
      <c r="A136" s="54" t="s">
        <v>163</v>
      </c>
      <c r="B136" s="56" t="s">
        <v>39</v>
      </c>
      <c r="C136" s="56">
        <f>1472.4+363.6+330.6+242.1+444.2</f>
        <v>2852.8999999999996</v>
      </c>
      <c r="D136" s="89" t="s">
        <v>164</v>
      </c>
    </row>
    <row r="137" spans="1:5" ht="12.75">
      <c r="A137" s="49" t="s">
        <v>168</v>
      </c>
      <c r="B137" s="36"/>
      <c r="C137" s="116"/>
      <c r="D137" s="45"/>
      <c r="E137" s="94"/>
    </row>
    <row r="138" spans="1:5" ht="12.75">
      <c r="A138" s="54" t="s">
        <v>169</v>
      </c>
      <c r="B138" s="55" t="s">
        <v>170</v>
      </c>
      <c r="C138" s="66" t="s">
        <v>566</v>
      </c>
      <c r="D138" s="68" t="s">
        <v>44</v>
      </c>
      <c r="E138" s="67"/>
    </row>
    <row r="139" spans="1:5" ht="12.75">
      <c r="A139" s="54" t="s">
        <v>172</v>
      </c>
      <c r="B139" s="55" t="s">
        <v>170</v>
      </c>
      <c r="C139" s="66" t="s">
        <v>566</v>
      </c>
      <c r="D139" s="47" t="s">
        <v>567</v>
      </c>
      <c r="E139" s="94"/>
    </row>
    <row r="140" spans="1:4" ht="12.75">
      <c r="A140" s="69" t="s">
        <v>174</v>
      </c>
      <c r="B140" s="55" t="s">
        <v>170</v>
      </c>
      <c r="C140" s="55">
        <v>4</v>
      </c>
      <c r="D140" s="68" t="s">
        <v>175</v>
      </c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7875" bottom="0.5902777777777778" header="0.5118055555555555" footer="0.5118055555555555"/>
  <pageSetup horizontalDpi="300" verticalDpi="300" orientation="portrait" paperSize="9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4"/>
  </sheetPr>
  <dimension ref="A1:F125"/>
  <sheetViews>
    <sheetView workbookViewId="0" topLeftCell="A94">
      <selection activeCell="A128" sqref="A128"/>
    </sheetView>
  </sheetViews>
  <sheetFormatPr defaultColWidth="9.00390625" defaultRowHeight="12.75"/>
  <cols>
    <col min="1" max="1" width="49.125" style="0" customWidth="1"/>
    <col min="2" max="2" width="9.375" style="0" customWidth="1"/>
    <col min="3" max="3" width="16.625" style="0" customWidth="1"/>
    <col min="4" max="4" width="20.75390625" style="0" customWidth="1"/>
    <col min="6" max="6" width="10.7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568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569</v>
      </c>
    </row>
    <row r="8" spans="1:3" ht="12.75">
      <c r="A8" t="s">
        <v>7</v>
      </c>
      <c r="C8" s="4" t="s">
        <v>570</v>
      </c>
    </row>
    <row r="9" spans="1:3" ht="12.75">
      <c r="A9" t="s">
        <v>9</v>
      </c>
      <c r="C9" s="7"/>
    </row>
    <row r="10" ht="12.75">
      <c r="C10" s="7"/>
    </row>
    <row r="11" spans="1:3" ht="12.75">
      <c r="A11" t="s">
        <v>11</v>
      </c>
      <c r="C11" s="7" t="s">
        <v>571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71">
        <v>0.8726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1446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1446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1189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19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58.3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15">
        <v>1446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434</v>
      </c>
      <c r="D35" s="16" t="s">
        <v>53</v>
      </c>
    </row>
    <row r="36" spans="1:4" ht="15.75" customHeight="1">
      <c r="A36" s="111" t="s">
        <v>54</v>
      </c>
      <c r="B36" s="183" t="s">
        <v>39</v>
      </c>
      <c r="C36" s="164"/>
      <c r="D36" s="122" t="s">
        <v>233</v>
      </c>
    </row>
    <row r="37" spans="1:4" ht="17.25" customHeight="1">
      <c r="A37" s="13" t="s">
        <v>56</v>
      </c>
      <c r="B37" s="17" t="s">
        <v>39</v>
      </c>
      <c r="C37" s="15"/>
      <c r="D37" s="16" t="s">
        <v>233</v>
      </c>
    </row>
    <row r="38" spans="1:4" ht="12.75">
      <c r="A38" s="13" t="s">
        <v>59</v>
      </c>
      <c r="B38" s="17" t="s">
        <v>39</v>
      </c>
      <c r="C38" s="15"/>
      <c r="D38" s="16" t="s">
        <v>233</v>
      </c>
    </row>
    <row r="39" spans="1:4" ht="14.25" customHeight="1">
      <c r="A39" s="13" t="s">
        <v>61</v>
      </c>
      <c r="B39" s="17" t="s">
        <v>39</v>
      </c>
      <c r="C39" s="15">
        <v>4100</v>
      </c>
      <c r="D39" s="16" t="s">
        <v>46</v>
      </c>
    </row>
    <row r="40" spans="1:4" ht="27" customHeight="1">
      <c r="A40" s="13" t="s">
        <v>62</v>
      </c>
      <c r="B40" s="17" t="s">
        <v>39</v>
      </c>
      <c r="C40" s="73">
        <v>1446</v>
      </c>
      <c r="D40" s="16" t="s">
        <v>53</v>
      </c>
    </row>
    <row r="41" spans="1:4" ht="15" customHeight="1">
      <c r="A41" s="13" t="s">
        <v>63</v>
      </c>
      <c r="B41" s="17" t="s">
        <v>39</v>
      </c>
      <c r="C41" s="15"/>
      <c r="D41" s="16" t="s">
        <v>233</v>
      </c>
    </row>
    <row r="42" spans="1:4" ht="15" customHeight="1">
      <c r="A42" s="13" t="s">
        <v>64</v>
      </c>
      <c r="B42" s="17" t="s">
        <v>39</v>
      </c>
      <c r="C42" s="15">
        <v>111.04</v>
      </c>
      <c r="D42" s="16" t="s">
        <v>44</v>
      </c>
    </row>
    <row r="43" spans="1:4" ht="31.5" customHeight="1">
      <c r="A43" s="13" t="s">
        <v>65</v>
      </c>
      <c r="B43" s="17" t="s">
        <v>39</v>
      </c>
      <c r="C43" s="15">
        <v>48</v>
      </c>
      <c r="D43" s="16" t="s">
        <v>53</v>
      </c>
    </row>
    <row r="44" spans="1:4" ht="15.75" customHeight="1">
      <c r="A44" s="13" t="s">
        <v>66</v>
      </c>
      <c r="B44" s="17" t="s">
        <v>67</v>
      </c>
      <c r="C44" s="15">
        <v>4</v>
      </c>
      <c r="D44" s="16" t="s">
        <v>60</v>
      </c>
    </row>
    <row r="45" spans="1:4" ht="33" customHeight="1">
      <c r="A45" s="13" t="s">
        <v>68</v>
      </c>
      <c r="B45" s="17" t="s">
        <v>67</v>
      </c>
      <c r="C45" s="15">
        <v>4</v>
      </c>
      <c r="D45" s="16" t="s">
        <v>69</v>
      </c>
    </row>
    <row r="46" spans="1:4" ht="17.25" customHeight="1">
      <c r="A46" s="13" t="s">
        <v>70</v>
      </c>
      <c r="B46" s="17" t="s">
        <v>39</v>
      </c>
      <c r="C46" s="15">
        <v>20</v>
      </c>
      <c r="D46" s="16" t="s">
        <v>71</v>
      </c>
    </row>
    <row r="47" spans="1:4" ht="26.25" customHeight="1">
      <c r="A47" s="13" t="s">
        <v>72</v>
      </c>
      <c r="B47" s="17" t="s">
        <v>39</v>
      </c>
      <c r="C47" s="15">
        <f>1*1.88*8*4</f>
        <v>60.16</v>
      </c>
      <c r="D47" s="16" t="s">
        <v>53</v>
      </c>
    </row>
    <row r="48" spans="1:4" ht="17.25" customHeight="1">
      <c r="A48" s="13" t="s">
        <v>73</v>
      </c>
      <c r="B48" s="17" t="s">
        <v>67</v>
      </c>
      <c r="C48" s="15">
        <v>4</v>
      </c>
      <c r="D48" s="16" t="s">
        <v>44</v>
      </c>
    </row>
    <row r="49" spans="1:4" ht="16.5" customHeight="1">
      <c r="A49" s="13" t="s">
        <v>74</v>
      </c>
      <c r="B49" s="17" t="s">
        <v>39</v>
      </c>
      <c r="C49" s="15">
        <v>2050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39" customHeight="1">
      <c r="A53" s="13" t="s">
        <v>78</v>
      </c>
      <c r="B53" s="24" t="s">
        <v>79</v>
      </c>
      <c r="C53" s="24"/>
      <c r="D53" s="13" t="s">
        <v>80</v>
      </c>
    </row>
    <row r="54" spans="1:4" ht="36" customHeight="1">
      <c r="A54" s="13" t="s">
        <v>81</v>
      </c>
      <c r="B54" s="24" t="s">
        <v>79</v>
      </c>
      <c r="C54" s="24"/>
      <c r="D54" s="13" t="s">
        <v>80</v>
      </c>
    </row>
    <row r="55" spans="1:4" ht="39.75" customHeight="1">
      <c r="A55" s="13" t="s">
        <v>82</v>
      </c>
      <c r="B55" s="24" t="s">
        <v>79</v>
      </c>
      <c r="C55" s="24"/>
      <c r="D55" s="13" t="s">
        <v>83</v>
      </c>
    </row>
    <row r="56" spans="1:4" ht="39.75" customHeight="1">
      <c r="A56" s="13" t="s">
        <v>84</v>
      </c>
      <c r="B56" s="24" t="s">
        <v>79</v>
      </c>
      <c r="C56" s="24"/>
      <c r="D56" s="13" t="s">
        <v>83</v>
      </c>
    </row>
    <row r="57" spans="1:4" ht="37.5" customHeight="1">
      <c r="A57" s="13" t="s">
        <v>85</v>
      </c>
      <c r="B57" s="24" t="s">
        <v>79</v>
      </c>
      <c r="C57" s="24"/>
      <c r="D57" s="13" t="s">
        <v>86</v>
      </c>
    </row>
    <row r="58" spans="1:4" ht="39.75" customHeight="1">
      <c r="A58" s="13" t="s">
        <v>87</v>
      </c>
      <c r="B58" s="24" t="s">
        <v>79</v>
      </c>
      <c r="C58" s="24"/>
      <c r="D58" s="13" t="s">
        <v>88</v>
      </c>
    </row>
    <row r="59" spans="1:4" ht="39.75" customHeight="1">
      <c r="A59" s="13" t="s">
        <v>89</v>
      </c>
      <c r="B59" s="24" t="s">
        <v>79</v>
      </c>
      <c r="C59" s="24"/>
      <c r="D59" s="13" t="s">
        <v>40</v>
      </c>
    </row>
    <row r="60" spans="1:4" ht="40.5" customHeight="1">
      <c r="A60" s="13" t="s">
        <v>90</v>
      </c>
      <c r="B60" s="24" t="s">
        <v>79</v>
      </c>
      <c r="C60" s="24"/>
      <c r="D60" s="13" t="s">
        <v>88</v>
      </c>
    </row>
    <row r="61" spans="1:4" ht="41.25" customHeight="1">
      <c r="A61" s="13" t="s">
        <v>91</v>
      </c>
      <c r="B61" s="24" t="s">
        <v>79</v>
      </c>
      <c r="C61" s="24"/>
      <c r="D61" s="13" t="s">
        <v>92</v>
      </c>
    </row>
    <row r="62" spans="1:4" ht="41.2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36" customHeight="1">
      <c r="A64" s="13" t="s">
        <v>96</v>
      </c>
      <c r="B64" s="24" t="s">
        <v>79</v>
      </c>
      <c r="C64" s="24"/>
      <c r="D64" s="13" t="s">
        <v>88</v>
      </c>
    </row>
    <row r="65" spans="1:4" ht="39" customHeight="1">
      <c r="A65" s="13" t="s">
        <v>97</v>
      </c>
      <c r="B65" s="24" t="s">
        <v>79</v>
      </c>
      <c r="C65" s="24"/>
      <c r="D65" s="13" t="s">
        <v>98</v>
      </c>
    </row>
    <row r="66" spans="1:4" ht="41.25" customHeight="1">
      <c r="A66" s="13" t="s">
        <v>99</v>
      </c>
      <c r="B66" s="24" t="s">
        <v>79</v>
      </c>
      <c r="C66" s="24"/>
      <c r="D66" s="13" t="s">
        <v>100</v>
      </c>
    </row>
    <row r="67" spans="1:4" ht="37.5" customHeight="1">
      <c r="A67" s="13" t="s">
        <v>101</v>
      </c>
      <c r="B67" s="24" t="s">
        <v>79</v>
      </c>
      <c r="C67" s="24"/>
      <c r="D67" s="13" t="s">
        <v>88</v>
      </c>
    </row>
    <row r="68" spans="1:4" ht="36" customHeight="1">
      <c r="A68" s="13" t="s">
        <v>102</v>
      </c>
      <c r="B68" s="24" t="s">
        <v>79</v>
      </c>
      <c r="C68" s="24"/>
      <c r="D68" s="13" t="s">
        <v>60</v>
      </c>
    </row>
    <row r="69" spans="1:4" ht="36" customHeight="1">
      <c r="A69" s="13" t="s">
        <v>103</v>
      </c>
      <c r="B69" s="24" t="s">
        <v>79</v>
      </c>
      <c r="C69" s="24"/>
      <c r="D69" s="13" t="s">
        <v>104</v>
      </c>
    </row>
    <row r="70" spans="1:4" ht="38.25" customHeight="1">
      <c r="A70" s="13" t="s">
        <v>105</v>
      </c>
      <c r="B70" s="24" t="s">
        <v>79</v>
      </c>
      <c r="C70" s="24"/>
      <c r="D70" s="13" t="s">
        <v>106</v>
      </c>
    </row>
    <row r="71" spans="1:4" ht="36" customHeight="1">
      <c r="A71" s="13" t="s">
        <v>107</v>
      </c>
      <c r="B71" s="24" t="s">
        <v>79</v>
      </c>
      <c r="C71" s="24"/>
      <c r="D71" s="13" t="s">
        <v>108</v>
      </c>
    </row>
    <row r="72" spans="1:4" ht="42.75" customHeight="1">
      <c r="A72" s="13" t="s">
        <v>89</v>
      </c>
      <c r="B72" s="24" t="s">
        <v>79</v>
      </c>
      <c r="C72" s="24"/>
      <c r="D72" s="13" t="s">
        <v>40</v>
      </c>
    </row>
    <row r="73" spans="1:4" ht="40.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5" ht="27.75" customHeight="1">
      <c r="A75" s="13" t="s">
        <v>111</v>
      </c>
      <c r="B75" s="14" t="s">
        <v>112</v>
      </c>
      <c r="C75" s="15">
        <f>315*1.15*12</f>
        <v>4347</v>
      </c>
      <c r="D75" s="32" t="s">
        <v>69</v>
      </c>
      <c r="E75" s="8"/>
    </row>
    <row r="76" spans="1:4" ht="17.25" customHeight="1">
      <c r="A76" s="13" t="s">
        <v>113</v>
      </c>
      <c r="B76" s="33" t="s">
        <v>112</v>
      </c>
      <c r="C76" s="15">
        <f>0.75*4*2*51</f>
        <v>306</v>
      </c>
      <c r="D76" s="32" t="s">
        <v>114</v>
      </c>
    </row>
    <row r="77" spans="1:6" ht="24.75" customHeight="1">
      <c r="A77" s="13" t="s">
        <v>115</v>
      </c>
      <c r="B77" s="14" t="s">
        <v>67</v>
      </c>
      <c r="C77" s="15">
        <v>4</v>
      </c>
      <c r="D77" s="32" t="s">
        <v>116</v>
      </c>
      <c r="F77" s="159"/>
    </row>
    <row r="78" spans="1:4" ht="12.75" customHeight="1">
      <c r="A78" s="18" t="s">
        <v>117</v>
      </c>
      <c r="B78" s="18"/>
      <c r="C78" s="181"/>
      <c r="D78" s="19"/>
    </row>
    <row r="79" spans="1:4" ht="12.75">
      <c r="A79" s="35" t="s">
        <v>118</v>
      </c>
      <c r="B79" s="36"/>
      <c r="C79" s="61"/>
      <c r="D79" s="45"/>
    </row>
    <row r="80" spans="1:4" ht="12.75">
      <c r="A80" s="39" t="s">
        <v>184</v>
      </c>
      <c r="B80" s="40" t="s">
        <v>39</v>
      </c>
      <c r="C80" s="41">
        <f>4+13.5+1.4</f>
        <v>18.9</v>
      </c>
      <c r="D80" s="42"/>
    </row>
    <row r="81" spans="1:4" ht="12.75">
      <c r="A81" s="39" t="s">
        <v>493</v>
      </c>
      <c r="B81" s="40" t="s">
        <v>67</v>
      </c>
      <c r="C81" s="41">
        <v>1</v>
      </c>
      <c r="D81" s="42"/>
    </row>
    <row r="82" spans="1:4" ht="12.75">
      <c r="A82" s="35" t="s">
        <v>235</v>
      </c>
      <c r="B82" s="36"/>
      <c r="C82" s="36"/>
      <c r="D82" s="45"/>
    </row>
    <row r="83" spans="1:4" ht="12.75">
      <c r="A83" s="39" t="s">
        <v>572</v>
      </c>
      <c r="B83" s="40" t="s">
        <v>39</v>
      </c>
      <c r="C83" s="41">
        <v>16</v>
      </c>
      <c r="D83" s="42"/>
    </row>
    <row r="84" spans="1:4" ht="12.75">
      <c r="A84" s="43" t="s">
        <v>573</v>
      </c>
      <c r="B84" s="41" t="s">
        <v>122</v>
      </c>
      <c r="C84" s="41">
        <f>1+1+1</f>
        <v>3</v>
      </c>
      <c r="D84" s="96"/>
    </row>
    <row r="85" spans="1:4" ht="12.75">
      <c r="A85" s="35" t="s">
        <v>467</v>
      </c>
      <c r="B85" s="36"/>
      <c r="C85" s="36"/>
      <c r="D85" s="45"/>
    </row>
    <row r="86" spans="1:4" ht="12.75">
      <c r="A86" s="43" t="s">
        <v>574</v>
      </c>
      <c r="B86" s="46"/>
      <c r="C86" s="41"/>
      <c r="D86" s="42"/>
    </row>
    <row r="87" spans="1:4" ht="12.75">
      <c r="A87" s="43" t="s">
        <v>468</v>
      </c>
      <c r="B87" s="40" t="s">
        <v>67</v>
      </c>
      <c r="C87" s="41">
        <f>4</f>
        <v>4</v>
      </c>
      <c r="D87" s="42"/>
    </row>
    <row r="88" spans="1:4" ht="12.75">
      <c r="A88" s="43" t="s">
        <v>131</v>
      </c>
      <c r="B88" s="40" t="s">
        <v>67</v>
      </c>
      <c r="C88" s="41">
        <f>1+1+2</f>
        <v>4</v>
      </c>
      <c r="D88" s="42"/>
    </row>
    <row r="89" spans="1:4" ht="12.75">
      <c r="A89" s="43" t="s">
        <v>397</v>
      </c>
      <c r="B89" s="40" t="s">
        <v>39</v>
      </c>
      <c r="C89" s="41">
        <f>0.5+0.2+0.2</f>
        <v>0.8999999999999999</v>
      </c>
      <c r="D89" s="42"/>
    </row>
    <row r="90" spans="1:4" ht="12.75">
      <c r="A90" s="43" t="s">
        <v>495</v>
      </c>
      <c r="B90" s="40" t="s">
        <v>67</v>
      </c>
      <c r="C90" s="40">
        <v>1</v>
      </c>
      <c r="D90" s="42"/>
    </row>
    <row r="91" spans="1:4" ht="12.75">
      <c r="A91" s="43" t="s">
        <v>190</v>
      </c>
      <c r="B91" s="40" t="s">
        <v>67</v>
      </c>
      <c r="C91" s="41">
        <f>2+1</f>
        <v>3</v>
      </c>
      <c r="D91" s="42"/>
    </row>
    <row r="92" spans="1:4" ht="12.75">
      <c r="A92" s="43" t="s">
        <v>134</v>
      </c>
      <c r="B92" s="40" t="s">
        <v>39</v>
      </c>
      <c r="C92" s="41">
        <f>0.4+0.8+0.4+0.8+0.4+3.6+0.8</f>
        <v>7.2</v>
      </c>
      <c r="D92" s="42"/>
    </row>
    <row r="93" spans="1:4" ht="12.75">
      <c r="A93" s="35" t="s">
        <v>238</v>
      </c>
      <c r="B93" s="36"/>
      <c r="C93" s="36"/>
      <c r="D93" s="45"/>
    </row>
    <row r="94" spans="1:4" ht="12.75">
      <c r="A94" s="43" t="s">
        <v>475</v>
      </c>
      <c r="B94" s="40" t="s">
        <v>133</v>
      </c>
      <c r="C94" s="40">
        <f>14+24.9+12+12</f>
        <v>62.9</v>
      </c>
      <c r="D94" s="42"/>
    </row>
    <row r="95" spans="1:4" ht="12.75">
      <c r="A95" s="35" t="s">
        <v>137</v>
      </c>
      <c r="B95" s="48"/>
      <c r="C95" s="36"/>
      <c r="D95" s="45"/>
    </row>
    <row r="96" spans="1:4" ht="12.75">
      <c r="A96" s="88" t="s">
        <v>545</v>
      </c>
      <c r="B96" s="40" t="s">
        <v>67</v>
      </c>
      <c r="C96" s="41">
        <v>4</v>
      </c>
      <c r="D96" s="42"/>
    </row>
    <row r="97" spans="1:4" ht="12.75">
      <c r="A97" s="39" t="s">
        <v>498</v>
      </c>
      <c r="B97" s="40" t="s">
        <v>39</v>
      </c>
      <c r="C97" s="40">
        <v>4</v>
      </c>
      <c r="D97" s="42"/>
    </row>
    <row r="98" spans="1:4" ht="12.75">
      <c r="A98" s="39" t="s">
        <v>476</v>
      </c>
      <c r="B98" s="40" t="s">
        <v>122</v>
      </c>
      <c r="C98" s="40">
        <v>4</v>
      </c>
      <c r="D98" s="42"/>
    </row>
    <row r="99" spans="1:4" ht="12.75">
      <c r="A99" s="35" t="s">
        <v>213</v>
      </c>
      <c r="B99" s="36"/>
      <c r="C99" s="36"/>
      <c r="D99" s="45"/>
    </row>
    <row r="100" spans="1:4" ht="12.75">
      <c r="A100" s="80" t="s">
        <v>397</v>
      </c>
      <c r="B100" s="41" t="s">
        <v>39</v>
      </c>
      <c r="C100" s="41">
        <v>0.9</v>
      </c>
      <c r="D100" s="42"/>
    </row>
    <row r="101" spans="1:4" ht="12.75">
      <c r="A101" s="49" t="s">
        <v>141</v>
      </c>
      <c r="B101" s="36"/>
      <c r="C101" s="36"/>
      <c r="D101" s="45"/>
    </row>
    <row r="102" spans="1:4" ht="12.75">
      <c r="A102" s="51" t="s">
        <v>279</v>
      </c>
      <c r="B102" s="41" t="s">
        <v>67</v>
      </c>
      <c r="C102" s="41">
        <f>1</f>
        <v>1</v>
      </c>
      <c r="D102" s="42"/>
    </row>
    <row r="103" spans="1:4" s="1" customFormat="1" ht="12.75">
      <c r="A103" s="51" t="s">
        <v>242</v>
      </c>
      <c r="B103" s="41" t="s">
        <v>67</v>
      </c>
      <c r="C103" s="41">
        <v>4</v>
      </c>
      <c r="D103" s="184" t="s">
        <v>186</v>
      </c>
    </row>
    <row r="104" spans="1:4" ht="12.75">
      <c r="A104" s="51" t="s">
        <v>143</v>
      </c>
      <c r="B104" s="40" t="s">
        <v>67</v>
      </c>
      <c r="C104" s="118">
        <f>12</f>
        <v>12</v>
      </c>
      <c r="D104" s="42"/>
    </row>
    <row r="105" spans="1:4" ht="12.75">
      <c r="A105" s="49" t="s">
        <v>145</v>
      </c>
      <c r="B105" s="36"/>
      <c r="C105" s="36"/>
      <c r="D105" s="45"/>
    </row>
    <row r="106" spans="1:4" ht="12.75">
      <c r="A106" s="52" t="s">
        <v>194</v>
      </c>
      <c r="B106" s="41" t="s">
        <v>133</v>
      </c>
      <c r="C106" s="40">
        <f>3</f>
        <v>3</v>
      </c>
      <c r="D106" s="42"/>
    </row>
    <row r="107" spans="1:4" ht="12.75">
      <c r="A107" s="52" t="s">
        <v>501</v>
      </c>
      <c r="B107" s="41" t="s">
        <v>112</v>
      </c>
      <c r="C107" s="40">
        <v>3.5</v>
      </c>
      <c r="D107" s="42"/>
    </row>
    <row r="108" spans="1:4" ht="12.75">
      <c r="A108" s="52" t="s">
        <v>149</v>
      </c>
      <c r="B108" s="40" t="s">
        <v>67</v>
      </c>
      <c r="C108" s="40">
        <v>4</v>
      </c>
      <c r="D108" s="42"/>
    </row>
    <row r="109" spans="1:4" ht="12.75">
      <c r="A109" s="52" t="s">
        <v>196</v>
      </c>
      <c r="B109" s="41" t="s">
        <v>67</v>
      </c>
      <c r="C109" s="40">
        <v>18</v>
      </c>
      <c r="D109" s="42"/>
    </row>
    <row r="110" spans="1:4" s="1" customFormat="1" ht="12.75">
      <c r="A110" s="52" t="s">
        <v>151</v>
      </c>
      <c r="B110" s="41" t="s">
        <v>39</v>
      </c>
      <c r="C110" s="40">
        <v>1400</v>
      </c>
      <c r="D110" s="47" t="s">
        <v>130</v>
      </c>
    </row>
    <row r="111" spans="1:4" ht="12.75">
      <c r="A111" s="52" t="s">
        <v>318</v>
      </c>
      <c r="B111" s="41" t="s">
        <v>67</v>
      </c>
      <c r="C111" s="40">
        <f>2</f>
        <v>2</v>
      </c>
      <c r="D111" s="42"/>
    </row>
    <row r="112" spans="1:4" ht="12.75">
      <c r="A112" s="52" t="s">
        <v>154</v>
      </c>
      <c r="B112" s="41" t="s">
        <v>67</v>
      </c>
      <c r="C112" s="40">
        <v>4</v>
      </c>
      <c r="D112" s="42"/>
    </row>
    <row r="113" spans="1:4" ht="12.75">
      <c r="A113" s="49" t="s">
        <v>157</v>
      </c>
      <c r="B113" s="36"/>
      <c r="C113" s="36"/>
      <c r="D113" s="45"/>
    </row>
    <row r="114" spans="1:4" s="1" customFormat="1" ht="12.75">
      <c r="A114" s="51" t="s">
        <v>158</v>
      </c>
      <c r="B114" s="40" t="s">
        <v>67</v>
      </c>
      <c r="C114" s="41">
        <v>16</v>
      </c>
      <c r="D114" s="47" t="s">
        <v>186</v>
      </c>
    </row>
    <row r="115" spans="1:4" s="1" customFormat="1" ht="12.75">
      <c r="A115" s="51" t="s">
        <v>202</v>
      </c>
      <c r="B115" s="41" t="s">
        <v>39</v>
      </c>
      <c r="C115" s="41">
        <v>320</v>
      </c>
      <c r="D115" s="47"/>
    </row>
    <row r="116" spans="1:4" ht="12.75">
      <c r="A116" s="51" t="s">
        <v>546</v>
      </c>
      <c r="B116" s="40" t="s">
        <v>67</v>
      </c>
      <c r="C116" s="40">
        <v>4</v>
      </c>
      <c r="D116" s="42"/>
    </row>
    <row r="117" spans="1:4" ht="12.75">
      <c r="A117" s="49" t="s">
        <v>161</v>
      </c>
      <c r="B117" s="36"/>
      <c r="C117" s="36"/>
      <c r="D117" s="45"/>
    </row>
    <row r="118" spans="1:4" ht="12.75">
      <c r="A118" s="148" t="s">
        <v>162</v>
      </c>
      <c r="B118" s="149" t="s">
        <v>39</v>
      </c>
      <c r="C118" s="185">
        <v>2050</v>
      </c>
      <c r="D118" s="143" t="s">
        <v>44</v>
      </c>
    </row>
    <row r="119" spans="1:4" ht="12.75">
      <c r="A119" s="186" t="s">
        <v>163</v>
      </c>
      <c r="B119" s="187" t="s">
        <v>39</v>
      </c>
      <c r="C119" s="188">
        <v>2050</v>
      </c>
      <c r="D119" s="89" t="s">
        <v>164</v>
      </c>
    </row>
    <row r="120" spans="1:4" ht="12.75">
      <c r="A120" s="174" t="s">
        <v>165</v>
      </c>
      <c r="B120" s="175"/>
      <c r="C120" s="176"/>
      <c r="D120" s="177"/>
    </row>
    <row r="121" spans="1:4" ht="12.75">
      <c r="A121" s="148" t="s">
        <v>162</v>
      </c>
      <c r="B121" s="149" t="s">
        <v>39</v>
      </c>
      <c r="C121" s="185">
        <f>2050+107.52</f>
        <v>2157.52</v>
      </c>
      <c r="D121" s="143" t="s">
        <v>44</v>
      </c>
    </row>
    <row r="122" spans="1:4" ht="12.75">
      <c r="A122" s="186" t="s">
        <v>163</v>
      </c>
      <c r="B122" s="187" t="s">
        <v>39</v>
      </c>
      <c r="C122" s="188">
        <f>2050+107.52</f>
        <v>2157.52</v>
      </c>
      <c r="D122" s="89" t="s">
        <v>164</v>
      </c>
    </row>
    <row r="123" spans="1:4" ht="12.75">
      <c r="A123" s="174" t="s">
        <v>166</v>
      </c>
      <c r="B123" s="175"/>
      <c r="C123" s="176"/>
      <c r="D123" s="177"/>
    </row>
    <row r="124" spans="1:4" ht="12.75">
      <c r="A124" s="148" t="s">
        <v>162</v>
      </c>
      <c r="B124" s="149" t="s">
        <v>39</v>
      </c>
      <c r="C124" s="149">
        <f>2050+489.1+940.3</f>
        <v>3479.3999999999996</v>
      </c>
      <c r="D124" s="143" t="s">
        <v>175</v>
      </c>
    </row>
    <row r="125" spans="1:4" ht="12.75">
      <c r="A125" s="54" t="s">
        <v>163</v>
      </c>
      <c r="B125" s="56" t="s">
        <v>39</v>
      </c>
      <c r="C125" s="56">
        <f>2050+489.1+940.3</f>
        <v>3479.3999999999996</v>
      </c>
      <c r="D125" s="89" t="s">
        <v>164</v>
      </c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4"/>
  </sheetPr>
  <dimension ref="A1:F145"/>
  <sheetViews>
    <sheetView workbookViewId="0" topLeftCell="A112">
      <selection activeCell="A148" sqref="A148"/>
    </sheetView>
  </sheetViews>
  <sheetFormatPr defaultColWidth="9.00390625" defaultRowHeight="12.75"/>
  <cols>
    <col min="1" max="1" width="49.125" style="0" customWidth="1"/>
    <col min="2" max="2" width="9.875" style="0" customWidth="1"/>
    <col min="3" max="3" width="15.125" style="0" customWidth="1"/>
    <col min="4" max="4" width="20.875" style="0" customWidth="1"/>
    <col min="6" max="6" width="11.00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575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576</v>
      </c>
    </row>
    <row r="8" spans="1:3" ht="12.75">
      <c r="A8" t="s">
        <v>7</v>
      </c>
      <c r="C8" s="4" t="s">
        <v>577</v>
      </c>
    </row>
    <row r="9" spans="1:3" ht="12.75">
      <c r="A9" t="s">
        <v>9</v>
      </c>
      <c r="C9" s="7" t="s">
        <v>578</v>
      </c>
    </row>
    <row r="10" ht="12.75">
      <c r="C10" s="7"/>
    </row>
    <row r="11" spans="1:3" ht="12.75">
      <c r="A11" t="s">
        <v>11</v>
      </c>
      <c r="C11" s="7" t="s">
        <v>579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24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9">
        <v>0.918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2318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2318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2856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204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613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73">
        <v>2318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1093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>
        <v>7</v>
      </c>
      <c r="D36" s="16" t="s">
        <v>55</v>
      </c>
    </row>
    <row r="37" spans="1:4" ht="27.75" customHeight="1">
      <c r="A37" s="13" t="s">
        <v>56</v>
      </c>
      <c r="B37" s="17" t="s">
        <v>39</v>
      </c>
      <c r="C37" s="15">
        <v>7</v>
      </c>
      <c r="D37" s="16" t="s">
        <v>57</v>
      </c>
    </row>
    <row r="38" spans="1:4" ht="27.75" customHeight="1">
      <c r="A38" s="13"/>
      <c r="B38" s="17" t="s">
        <v>39</v>
      </c>
      <c r="C38" s="15">
        <v>7</v>
      </c>
      <c r="D38" s="16" t="s">
        <v>58</v>
      </c>
    </row>
    <row r="39" spans="1:4" ht="12.75">
      <c r="A39" s="13" t="s">
        <v>59</v>
      </c>
      <c r="B39" s="17" t="s">
        <v>39</v>
      </c>
      <c r="C39" s="15">
        <v>63</v>
      </c>
      <c r="D39" s="16" t="s">
        <v>60</v>
      </c>
    </row>
    <row r="40" spans="1:4" ht="14.25" customHeight="1">
      <c r="A40" s="13" t="s">
        <v>61</v>
      </c>
      <c r="B40" s="17" t="s">
        <v>39</v>
      </c>
      <c r="C40" s="15">
        <v>5360</v>
      </c>
      <c r="D40" s="16" t="s">
        <v>46</v>
      </c>
    </row>
    <row r="41" spans="1:4" ht="27" customHeight="1">
      <c r="A41" s="13" t="s">
        <v>62</v>
      </c>
      <c r="B41" s="17" t="s">
        <v>39</v>
      </c>
      <c r="C41" s="73">
        <v>2318</v>
      </c>
      <c r="D41" s="16" t="s">
        <v>53</v>
      </c>
    </row>
    <row r="42" spans="1:4" ht="15" customHeight="1">
      <c r="A42" s="13" t="s">
        <v>63</v>
      </c>
      <c r="B42" s="17" t="s">
        <v>39</v>
      </c>
      <c r="C42" s="15">
        <v>7</v>
      </c>
      <c r="D42" s="16" t="s">
        <v>44</v>
      </c>
    </row>
    <row r="43" spans="1:4" ht="15" customHeight="1">
      <c r="A43" s="13" t="s">
        <v>64</v>
      </c>
      <c r="B43" s="17" t="s">
        <v>39</v>
      </c>
      <c r="C43" s="15">
        <v>281.4</v>
      </c>
      <c r="D43" s="16" t="s">
        <v>44</v>
      </c>
    </row>
    <row r="44" spans="1:4" ht="31.5" customHeight="1">
      <c r="A44" s="13" t="s">
        <v>65</v>
      </c>
      <c r="B44" s="17" t="s">
        <v>39</v>
      </c>
      <c r="C44" s="15">
        <v>84</v>
      </c>
      <c r="D44" s="16" t="s">
        <v>53</v>
      </c>
    </row>
    <row r="45" spans="1:4" ht="15.75" customHeight="1">
      <c r="A45" s="13" t="s">
        <v>66</v>
      </c>
      <c r="B45" s="17" t="s">
        <v>67</v>
      </c>
      <c r="C45" s="15">
        <v>7</v>
      </c>
      <c r="D45" s="16" t="s">
        <v>60</v>
      </c>
    </row>
    <row r="46" spans="1:4" ht="33" customHeight="1">
      <c r="A46" s="13" t="s">
        <v>68</v>
      </c>
      <c r="B46" s="17" t="s">
        <v>67</v>
      </c>
      <c r="C46" s="15">
        <v>7</v>
      </c>
      <c r="D46" s="16" t="s">
        <v>69</v>
      </c>
    </row>
    <row r="47" spans="1:4" ht="17.25" customHeight="1">
      <c r="A47" s="13" t="s">
        <v>70</v>
      </c>
      <c r="B47" s="17" t="s">
        <v>39</v>
      </c>
      <c r="C47" s="15">
        <v>35</v>
      </c>
      <c r="D47" s="16" t="s">
        <v>71</v>
      </c>
    </row>
    <row r="48" spans="1:4" ht="26.25" customHeight="1">
      <c r="A48" s="13" t="s">
        <v>72</v>
      </c>
      <c r="B48" s="17" t="s">
        <v>39</v>
      </c>
      <c r="C48" s="15">
        <f>1*1.88*8*7</f>
        <v>105.28</v>
      </c>
      <c r="D48" s="16" t="s">
        <v>53</v>
      </c>
    </row>
    <row r="49" spans="1:4" ht="17.25" customHeight="1">
      <c r="A49" s="13" t="s">
        <v>73</v>
      </c>
      <c r="B49" s="17" t="s">
        <v>67</v>
      </c>
      <c r="C49" s="15">
        <v>7</v>
      </c>
      <c r="D49" s="16" t="s">
        <v>44</v>
      </c>
    </row>
    <row r="50" spans="1:4" ht="16.5" customHeight="1">
      <c r="A50" s="13" t="s">
        <v>74</v>
      </c>
      <c r="B50" s="17" t="s">
        <v>39</v>
      </c>
      <c r="C50" s="15">
        <v>2680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31.5" customHeight="1">
      <c r="A56" s="13" t="s">
        <v>82</v>
      </c>
      <c r="B56" s="24" t="s">
        <v>79</v>
      </c>
      <c r="C56" s="24"/>
      <c r="D56" s="13" t="s">
        <v>83</v>
      </c>
    </row>
    <row r="57" spans="1:4" ht="30.75" customHeight="1">
      <c r="A57" s="13" t="s">
        <v>84</v>
      </c>
      <c r="B57" s="24" t="s">
        <v>79</v>
      </c>
      <c r="C57" s="24"/>
      <c r="D57" s="13" t="s">
        <v>83</v>
      </c>
    </row>
    <row r="58" spans="1:4" ht="30.75" customHeight="1">
      <c r="A58" s="13" t="s">
        <v>85</v>
      </c>
      <c r="B58" s="24" t="s">
        <v>79</v>
      </c>
      <c r="C58" s="24"/>
      <c r="D58" s="13" t="s">
        <v>86</v>
      </c>
    </row>
    <row r="59" spans="1:4" ht="27" customHeight="1">
      <c r="A59" s="13" t="s">
        <v>87</v>
      </c>
      <c r="B59" s="24" t="s">
        <v>79</v>
      </c>
      <c r="C59" s="24"/>
      <c r="D59" s="13" t="s">
        <v>88</v>
      </c>
    </row>
    <row r="60" spans="1:4" ht="28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8.5" customHeight="1">
      <c r="A62" s="13" t="s">
        <v>91</v>
      </c>
      <c r="B62" s="24" t="s">
        <v>79</v>
      </c>
      <c r="C62" s="24"/>
      <c r="D62" s="13" t="s">
        <v>92</v>
      </c>
    </row>
    <row r="63" spans="1:4" ht="25.5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4" customHeight="1">
      <c r="A65" s="13" t="s">
        <v>96</v>
      </c>
      <c r="B65" s="24" t="s">
        <v>79</v>
      </c>
      <c r="C65" s="24"/>
      <c r="D65" s="13" t="s">
        <v>88</v>
      </c>
    </row>
    <row r="66" spans="1:4" ht="30.75" customHeight="1">
      <c r="A66" s="13" t="s">
        <v>97</v>
      </c>
      <c r="B66" s="24" t="s">
        <v>79</v>
      </c>
      <c r="C66" s="24"/>
      <c r="D66" s="13" t="s">
        <v>98</v>
      </c>
    </row>
    <row r="67" spans="1:4" ht="27.75" customHeight="1">
      <c r="A67" s="13" t="s">
        <v>99</v>
      </c>
      <c r="B67" s="24" t="s">
        <v>79</v>
      </c>
      <c r="C67" s="24"/>
      <c r="D67" s="13" t="s">
        <v>100</v>
      </c>
    </row>
    <row r="68" spans="1:4" ht="26.25" customHeight="1">
      <c r="A68" s="13" t="s">
        <v>101</v>
      </c>
      <c r="B68" s="24" t="s">
        <v>79</v>
      </c>
      <c r="C68" s="24"/>
      <c r="D68" s="13" t="s">
        <v>88</v>
      </c>
    </row>
    <row r="69" spans="1:4" ht="25.5" customHeight="1">
      <c r="A69" s="13" t="s">
        <v>102</v>
      </c>
      <c r="B69" s="24" t="s">
        <v>79</v>
      </c>
      <c r="C69" s="24"/>
      <c r="D69" s="13" t="s">
        <v>60</v>
      </c>
    </row>
    <row r="70" spans="1:4" ht="24.75" customHeight="1">
      <c r="A70" s="13" t="s">
        <v>103</v>
      </c>
      <c r="B70" s="24" t="s">
        <v>79</v>
      </c>
      <c r="C70" s="24"/>
      <c r="D70" s="13" t="s">
        <v>104</v>
      </c>
    </row>
    <row r="71" spans="1:4" ht="27.7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5.5" customHeight="1">
      <c r="A73" s="13" t="s">
        <v>89</v>
      </c>
      <c r="B73" s="24" t="s">
        <v>79</v>
      </c>
      <c r="C73" s="24"/>
      <c r="D73" s="13" t="s">
        <v>40</v>
      </c>
    </row>
    <row r="74" spans="1:4" ht="27.7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5" ht="27.75" customHeight="1">
      <c r="A76" s="13" t="s">
        <v>111</v>
      </c>
      <c r="B76" s="14" t="s">
        <v>112</v>
      </c>
      <c r="C76" s="15">
        <f>711*1.15*12</f>
        <v>9811.8</v>
      </c>
      <c r="D76" s="74" t="s">
        <v>69</v>
      </c>
      <c r="E76" s="8"/>
    </row>
    <row r="77" spans="1:4" ht="17.25" customHeight="1">
      <c r="A77" s="13" t="s">
        <v>113</v>
      </c>
      <c r="B77" s="33" t="s">
        <v>112</v>
      </c>
      <c r="C77" s="15">
        <f>0.75*7*2*51</f>
        <v>535.5</v>
      </c>
      <c r="D77" s="74" t="s">
        <v>114</v>
      </c>
    </row>
    <row r="78" spans="1:6" ht="24.75" customHeight="1">
      <c r="A78" s="13" t="s">
        <v>115</v>
      </c>
      <c r="B78" s="14" t="s">
        <v>67</v>
      </c>
      <c r="C78" s="15">
        <v>8</v>
      </c>
      <c r="D78" s="74" t="s">
        <v>116</v>
      </c>
      <c r="F78" s="159"/>
    </row>
    <row r="79" spans="1:4" ht="12.75" customHeight="1">
      <c r="A79" s="18" t="s">
        <v>117</v>
      </c>
      <c r="B79" s="18"/>
      <c r="C79" s="181"/>
      <c r="D79" s="19"/>
    </row>
    <row r="80" spans="1:4" ht="12.75">
      <c r="A80" s="35" t="s">
        <v>118</v>
      </c>
      <c r="B80" s="36"/>
      <c r="C80" s="38"/>
      <c r="D80" s="38"/>
    </row>
    <row r="81" spans="1:4" ht="12.75">
      <c r="A81" s="39" t="s">
        <v>580</v>
      </c>
      <c r="B81" s="40" t="s">
        <v>39</v>
      </c>
      <c r="C81" s="41">
        <v>8</v>
      </c>
      <c r="D81" s="42"/>
    </row>
    <row r="82" spans="1:4" ht="12.75">
      <c r="A82" s="39" t="s">
        <v>581</v>
      </c>
      <c r="B82" s="40" t="s">
        <v>133</v>
      </c>
      <c r="C82" s="41">
        <f>2.4+2.4+2.4</f>
        <v>7.199999999999999</v>
      </c>
      <c r="D82" s="42"/>
    </row>
    <row r="83" spans="1:4" ht="12.75">
      <c r="A83" s="39" t="s">
        <v>120</v>
      </c>
      <c r="B83" s="40" t="s">
        <v>67</v>
      </c>
      <c r="C83" s="41">
        <v>7</v>
      </c>
      <c r="D83" s="42"/>
    </row>
    <row r="84" spans="1:4" ht="12.75">
      <c r="A84" s="39" t="s">
        <v>181</v>
      </c>
      <c r="B84" s="40" t="s">
        <v>67</v>
      </c>
      <c r="C84" s="40">
        <f>25</f>
        <v>25</v>
      </c>
      <c r="D84" s="42"/>
    </row>
    <row r="85" spans="1:4" ht="12.75">
      <c r="A85" s="35" t="s">
        <v>467</v>
      </c>
      <c r="B85" s="36"/>
      <c r="C85" s="36"/>
      <c r="D85" s="45"/>
    </row>
    <row r="86" spans="1:4" ht="12.75">
      <c r="A86" s="39" t="s">
        <v>369</v>
      </c>
      <c r="B86" s="46" t="s">
        <v>67</v>
      </c>
      <c r="C86" s="41">
        <v>4</v>
      </c>
      <c r="D86" s="42"/>
    </row>
    <row r="87" spans="1:4" ht="12.75">
      <c r="A87" s="43" t="s">
        <v>127</v>
      </c>
      <c r="B87" s="46" t="s">
        <v>67</v>
      </c>
      <c r="C87" s="40">
        <f>1+2+4</f>
        <v>7</v>
      </c>
      <c r="D87" s="42"/>
    </row>
    <row r="88" spans="1:4" ht="12.75">
      <c r="A88" s="43" t="s">
        <v>185</v>
      </c>
      <c r="B88" s="46" t="s">
        <v>67</v>
      </c>
      <c r="C88" s="41">
        <f>4</f>
        <v>4</v>
      </c>
      <c r="D88" s="42"/>
    </row>
    <row r="89" spans="1:4" ht="12.75">
      <c r="A89" s="43" t="s">
        <v>125</v>
      </c>
      <c r="B89" s="46" t="s">
        <v>67</v>
      </c>
      <c r="C89" s="41">
        <v>7</v>
      </c>
      <c r="D89" s="47" t="s">
        <v>130</v>
      </c>
    </row>
    <row r="90" spans="1:4" ht="12.75">
      <c r="A90" s="43" t="s">
        <v>468</v>
      </c>
      <c r="B90" s="40" t="s">
        <v>67</v>
      </c>
      <c r="C90" s="41">
        <v>7</v>
      </c>
      <c r="D90" s="47" t="s">
        <v>130</v>
      </c>
    </row>
    <row r="91" spans="1:4" ht="12.75">
      <c r="A91" s="43" t="s">
        <v>131</v>
      </c>
      <c r="B91" s="40" t="s">
        <v>67</v>
      </c>
      <c r="C91" s="41">
        <v>7</v>
      </c>
      <c r="D91" s="42"/>
    </row>
    <row r="92" spans="1:4" ht="12.75">
      <c r="A92" s="43" t="s">
        <v>416</v>
      </c>
      <c r="B92" s="40" t="s">
        <v>67</v>
      </c>
      <c r="C92" s="41">
        <f>1</f>
        <v>1</v>
      </c>
      <c r="D92" s="42"/>
    </row>
    <row r="93" spans="1:4" ht="12.75">
      <c r="A93" s="43" t="s">
        <v>189</v>
      </c>
      <c r="B93" s="40" t="s">
        <v>133</v>
      </c>
      <c r="C93" s="41">
        <f>6+3</f>
        <v>9</v>
      </c>
      <c r="D93" s="42"/>
    </row>
    <row r="94" spans="1:4" ht="12.75">
      <c r="A94" s="43" t="s">
        <v>132</v>
      </c>
      <c r="B94" s="40" t="s">
        <v>133</v>
      </c>
      <c r="C94" s="41">
        <f>0.5</f>
        <v>0.5</v>
      </c>
      <c r="D94" s="42"/>
    </row>
    <row r="95" spans="1:4" ht="12.75">
      <c r="A95" s="43" t="s">
        <v>190</v>
      </c>
      <c r="B95" s="40" t="s">
        <v>67</v>
      </c>
      <c r="C95" s="41">
        <f>1+2+2+3</f>
        <v>8</v>
      </c>
      <c r="D95" s="42"/>
    </row>
    <row r="96" spans="1:4" ht="12.75">
      <c r="A96" s="43" t="s">
        <v>471</v>
      </c>
      <c r="B96" s="40" t="s">
        <v>67</v>
      </c>
      <c r="C96" s="41">
        <v>4</v>
      </c>
      <c r="D96" s="42"/>
    </row>
    <row r="97" spans="1:4" ht="12.75">
      <c r="A97" s="43" t="s">
        <v>134</v>
      </c>
      <c r="B97" s="40" t="s">
        <v>39</v>
      </c>
      <c r="C97" s="41">
        <f>1.7+1.2+0.4+1.2+1.2+1.2+4+2</f>
        <v>12.9</v>
      </c>
      <c r="D97" s="42"/>
    </row>
    <row r="98" spans="1:4" ht="12.75">
      <c r="A98" s="43" t="s">
        <v>277</v>
      </c>
      <c r="B98" s="40" t="s">
        <v>67</v>
      </c>
      <c r="C98" s="41">
        <f>10+4</f>
        <v>14</v>
      </c>
      <c r="D98" s="42"/>
    </row>
    <row r="99" spans="1:4" ht="12.75">
      <c r="A99" s="43" t="s">
        <v>582</v>
      </c>
      <c r="B99" s="40" t="s">
        <v>67</v>
      </c>
      <c r="C99" s="41">
        <f>18+5+7+8</f>
        <v>38</v>
      </c>
      <c r="D99" s="42"/>
    </row>
    <row r="100" spans="1:4" ht="12.75">
      <c r="A100" s="43" t="s">
        <v>346</v>
      </c>
      <c r="B100" s="40" t="s">
        <v>122</v>
      </c>
      <c r="C100" s="41">
        <v>9</v>
      </c>
      <c r="D100" s="42"/>
    </row>
    <row r="101" spans="1:4" ht="12.75">
      <c r="A101" s="88" t="s">
        <v>267</v>
      </c>
      <c r="B101" s="40" t="s">
        <v>122</v>
      </c>
      <c r="C101" s="40">
        <v>1</v>
      </c>
      <c r="D101" s="42"/>
    </row>
    <row r="102" spans="1:4" ht="12.75">
      <c r="A102" s="35" t="s">
        <v>238</v>
      </c>
      <c r="B102" s="36"/>
      <c r="C102" s="36"/>
      <c r="D102" s="45"/>
    </row>
    <row r="103" spans="1:4" ht="12.75">
      <c r="A103" s="43" t="s">
        <v>475</v>
      </c>
      <c r="B103" s="40" t="s">
        <v>133</v>
      </c>
      <c r="C103" s="40">
        <f>34.9+24.9+34.9+15+14+6</f>
        <v>129.7</v>
      </c>
      <c r="D103" s="42"/>
    </row>
    <row r="104" spans="1:4" ht="12.75">
      <c r="A104" s="35" t="s">
        <v>137</v>
      </c>
      <c r="B104" s="48"/>
      <c r="C104" s="36"/>
      <c r="D104" s="45"/>
    </row>
    <row r="105" spans="1:4" ht="12.75">
      <c r="A105" s="88" t="s">
        <v>545</v>
      </c>
      <c r="B105" s="40" t="s">
        <v>67</v>
      </c>
      <c r="C105" s="40">
        <v>7</v>
      </c>
      <c r="D105" s="42"/>
    </row>
    <row r="106" spans="1:4" ht="12.75">
      <c r="A106" s="39" t="s">
        <v>476</v>
      </c>
      <c r="B106" s="40" t="s">
        <v>122</v>
      </c>
      <c r="C106" s="41">
        <v>7</v>
      </c>
      <c r="D106" s="42"/>
    </row>
    <row r="107" spans="1:4" ht="12.75">
      <c r="A107" s="35" t="s">
        <v>213</v>
      </c>
      <c r="B107" s="36"/>
      <c r="C107" s="36"/>
      <c r="D107" s="45"/>
    </row>
    <row r="108" spans="1:4" ht="12.75">
      <c r="A108" s="43" t="s">
        <v>184</v>
      </c>
      <c r="B108" s="41" t="s">
        <v>39</v>
      </c>
      <c r="C108" s="41">
        <f>3+14</f>
        <v>17</v>
      </c>
      <c r="D108" s="42"/>
    </row>
    <row r="109" spans="1:4" ht="12.75">
      <c r="A109" s="49" t="s">
        <v>141</v>
      </c>
      <c r="B109" s="36"/>
      <c r="C109" s="36"/>
      <c r="D109" s="115"/>
    </row>
    <row r="110" spans="1:4" ht="12.75">
      <c r="A110" s="52" t="s">
        <v>256</v>
      </c>
      <c r="B110" s="40" t="s">
        <v>133</v>
      </c>
      <c r="C110" s="40">
        <f>4</f>
        <v>4</v>
      </c>
      <c r="D110" s="42"/>
    </row>
    <row r="111" spans="1:4" ht="12.75">
      <c r="A111" s="51" t="s">
        <v>192</v>
      </c>
      <c r="B111" s="41" t="s">
        <v>67</v>
      </c>
      <c r="C111" s="40">
        <f>1+1+2</f>
        <v>4</v>
      </c>
      <c r="D111" s="42"/>
    </row>
    <row r="112" spans="1:4" s="1" customFormat="1" ht="12.75">
      <c r="A112" s="51" t="s">
        <v>242</v>
      </c>
      <c r="B112" s="41" t="s">
        <v>67</v>
      </c>
      <c r="C112" s="40">
        <v>7</v>
      </c>
      <c r="D112" s="47" t="s">
        <v>186</v>
      </c>
    </row>
    <row r="113" spans="1:4" ht="12.75">
      <c r="A113" s="51" t="s">
        <v>143</v>
      </c>
      <c r="B113" s="40" t="s">
        <v>67</v>
      </c>
      <c r="C113" s="46">
        <f>13</f>
        <v>13</v>
      </c>
      <c r="D113" s="42"/>
    </row>
    <row r="114" spans="1:4" ht="12.75">
      <c r="A114" s="51" t="s">
        <v>301</v>
      </c>
      <c r="B114" s="40" t="s">
        <v>133</v>
      </c>
      <c r="C114" s="46">
        <f>12+24+146</f>
        <v>182</v>
      </c>
      <c r="D114" s="42"/>
    </row>
    <row r="115" spans="1:4" ht="12.75">
      <c r="A115" s="49" t="s">
        <v>145</v>
      </c>
      <c r="B115" s="36"/>
      <c r="C115" s="36"/>
      <c r="D115" s="45"/>
    </row>
    <row r="116" spans="1:4" ht="12.75">
      <c r="A116" s="52" t="s">
        <v>222</v>
      </c>
      <c r="B116" s="41" t="s">
        <v>112</v>
      </c>
      <c r="C116" s="40">
        <f>14</f>
        <v>14</v>
      </c>
      <c r="D116" s="42"/>
    </row>
    <row r="117" spans="1:4" ht="12.75">
      <c r="A117" s="52" t="s">
        <v>195</v>
      </c>
      <c r="B117" s="41" t="s">
        <v>112</v>
      </c>
      <c r="C117" s="40">
        <v>7</v>
      </c>
      <c r="D117" s="42"/>
    </row>
    <row r="118" spans="1:4" ht="12.75">
      <c r="A118" s="52" t="s">
        <v>479</v>
      </c>
      <c r="B118" s="40" t="s">
        <v>67</v>
      </c>
      <c r="C118" s="40">
        <v>6</v>
      </c>
      <c r="D118" s="42"/>
    </row>
    <row r="119" spans="1:4" ht="12.75">
      <c r="A119" s="52" t="s">
        <v>149</v>
      </c>
      <c r="B119" s="40" t="s">
        <v>67</v>
      </c>
      <c r="C119" s="40">
        <v>9</v>
      </c>
      <c r="D119" s="42"/>
    </row>
    <row r="120" spans="1:4" ht="12.75">
      <c r="A120" s="52" t="s">
        <v>196</v>
      </c>
      <c r="B120" s="41" t="s">
        <v>67</v>
      </c>
      <c r="C120" s="40">
        <f>24+8</f>
        <v>32</v>
      </c>
      <c r="D120" s="42"/>
    </row>
    <row r="121" spans="1:4" s="1" customFormat="1" ht="12.75">
      <c r="A121" s="52" t="s">
        <v>151</v>
      </c>
      <c r="B121" s="41" t="s">
        <v>39</v>
      </c>
      <c r="C121" s="41">
        <v>3150</v>
      </c>
      <c r="D121" s="47" t="s">
        <v>186</v>
      </c>
    </row>
    <row r="122" spans="1:4" ht="12.75">
      <c r="A122" s="52" t="s">
        <v>197</v>
      </c>
      <c r="B122" s="41" t="s">
        <v>67</v>
      </c>
      <c r="C122" s="40">
        <f>6</f>
        <v>6</v>
      </c>
      <c r="D122" s="42"/>
    </row>
    <row r="123" spans="1:4" ht="12.75">
      <c r="A123" s="52" t="s">
        <v>583</v>
      </c>
      <c r="B123" s="41" t="s">
        <v>39</v>
      </c>
      <c r="C123" s="40">
        <v>1.5</v>
      </c>
      <c r="D123" s="42"/>
    </row>
    <row r="124" spans="1:4" ht="12.75">
      <c r="A124" s="52" t="s">
        <v>198</v>
      </c>
      <c r="B124" s="41" t="s">
        <v>67</v>
      </c>
      <c r="C124" s="40">
        <f>2</f>
        <v>2</v>
      </c>
      <c r="D124" s="42"/>
    </row>
    <row r="125" spans="1:4" ht="12.75">
      <c r="A125" s="52" t="s">
        <v>318</v>
      </c>
      <c r="B125" s="41" t="s">
        <v>67</v>
      </c>
      <c r="C125" s="40">
        <f>6</f>
        <v>6</v>
      </c>
      <c r="D125" s="42"/>
    </row>
    <row r="126" spans="1:4" ht="12.75">
      <c r="A126" s="52" t="s">
        <v>154</v>
      </c>
      <c r="B126" s="41" t="s">
        <v>67</v>
      </c>
      <c r="C126" s="40">
        <v>7</v>
      </c>
      <c r="D126" s="42"/>
    </row>
    <row r="127" spans="1:4" ht="12.75">
      <c r="A127" s="52" t="s">
        <v>199</v>
      </c>
      <c r="B127" s="41" t="s">
        <v>67</v>
      </c>
      <c r="C127" s="40">
        <v>1</v>
      </c>
      <c r="D127" s="42"/>
    </row>
    <row r="128" spans="1:4" ht="12.75">
      <c r="A128" s="49" t="s">
        <v>157</v>
      </c>
      <c r="B128" s="36"/>
      <c r="C128" s="36"/>
      <c r="D128" s="45"/>
    </row>
    <row r="129" spans="1:4" s="1" customFormat="1" ht="12.75">
      <c r="A129" s="80" t="s">
        <v>158</v>
      </c>
      <c r="B129" s="41" t="s">
        <v>67</v>
      </c>
      <c r="C129" s="41">
        <v>28</v>
      </c>
      <c r="D129" s="68" t="s">
        <v>584</v>
      </c>
    </row>
    <row r="130" spans="1:4" s="1" customFormat="1" ht="12.75">
      <c r="A130" s="51" t="s">
        <v>202</v>
      </c>
      <c r="B130" s="41" t="s">
        <v>39</v>
      </c>
      <c r="C130" s="41">
        <v>402</v>
      </c>
      <c r="D130" s="47"/>
    </row>
    <row r="131" spans="1:4" ht="12.75">
      <c r="A131" s="51" t="s">
        <v>246</v>
      </c>
      <c r="B131" s="40" t="s">
        <v>122</v>
      </c>
      <c r="C131" s="40">
        <f>2+1</f>
        <v>3</v>
      </c>
      <c r="D131" s="42"/>
    </row>
    <row r="132" spans="1:4" ht="12.75">
      <c r="A132" s="51" t="s">
        <v>546</v>
      </c>
      <c r="B132" s="40" t="s">
        <v>67</v>
      </c>
      <c r="C132" s="40">
        <v>7</v>
      </c>
      <c r="D132" s="42"/>
    </row>
    <row r="133" spans="1:4" ht="12.75">
      <c r="A133" s="49" t="s">
        <v>161</v>
      </c>
      <c r="B133" s="36"/>
      <c r="C133" s="36"/>
      <c r="D133" s="45"/>
    </row>
    <row r="134" spans="1:4" ht="12.75">
      <c r="A134" s="54" t="s">
        <v>162</v>
      </c>
      <c r="B134" s="56" t="s">
        <v>39</v>
      </c>
      <c r="C134" s="182">
        <v>2680</v>
      </c>
      <c r="D134" s="68" t="s">
        <v>44</v>
      </c>
    </row>
    <row r="135" spans="1:4" ht="12.75">
      <c r="A135" s="54" t="s">
        <v>163</v>
      </c>
      <c r="B135" s="56" t="s">
        <v>39</v>
      </c>
      <c r="C135" s="182">
        <v>2680</v>
      </c>
      <c r="D135" s="89" t="s">
        <v>164</v>
      </c>
    </row>
    <row r="136" spans="1:4" ht="12.75">
      <c r="A136" s="49" t="s">
        <v>165</v>
      </c>
      <c r="B136" s="38"/>
      <c r="C136" s="61"/>
      <c r="D136" s="62"/>
    </row>
    <row r="137" spans="1:4" ht="12.75">
      <c r="A137" s="54" t="s">
        <v>162</v>
      </c>
      <c r="B137" s="56" t="s">
        <v>39</v>
      </c>
      <c r="C137" s="182">
        <f>2680+188.16</f>
        <v>2868.16</v>
      </c>
      <c r="D137" s="68" t="s">
        <v>44</v>
      </c>
    </row>
    <row r="138" spans="1:4" ht="12.75">
      <c r="A138" s="54" t="s">
        <v>163</v>
      </c>
      <c r="B138" s="56" t="s">
        <v>39</v>
      </c>
      <c r="C138" s="182">
        <f>2680+188.16</f>
        <v>2868.16</v>
      </c>
      <c r="D138" s="89" t="s">
        <v>164</v>
      </c>
    </row>
    <row r="139" spans="1:4" ht="12.75">
      <c r="A139" s="49" t="s">
        <v>166</v>
      </c>
      <c r="B139" s="38"/>
      <c r="C139" s="61"/>
      <c r="D139" s="62"/>
    </row>
    <row r="140" spans="1:4" ht="12.75">
      <c r="A140" s="54" t="s">
        <v>162</v>
      </c>
      <c r="B140" s="56" t="s">
        <v>39</v>
      </c>
      <c r="C140" s="182">
        <f>2680+1518.4+814.4</f>
        <v>5012.799999999999</v>
      </c>
      <c r="D140" s="47" t="s">
        <v>175</v>
      </c>
    </row>
    <row r="141" spans="1:4" ht="12.75">
      <c r="A141" s="54" t="s">
        <v>163</v>
      </c>
      <c r="B141" s="56" t="s">
        <v>39</v>
      </c>
      <c r="C141" s="182">
        <f>2680+1518.4+814.4</f>
        <v>5012.799999999999</v>
      </c>
      <c r="D141" s="89" t="s">
        <v>164</v>
      </c>
    </row>
    <row r="142" spans="1:4" ht="12.75">
      <c r="A142" s="49" t="s">
        <v>168</v>
      </c>
      <c r="B142" s="36"/>
      <c r="C142" s="116"/>
      <c r="D142" s="65"/>
    </row>
    <row r="143" spans="1:5" ht="12.75">
      <c r="A143" s="54" t="s">
        <v>169</v>
      </c>
      <c r="B143" s="55" t="s">
        <v>170</v>
      </c>
      <c r="C143" s="66" t="s">
        <v>585</v>
      </c>
      <c r="D143" s="68" t="s">
        <v>44</v>
      </c>
      <c r="E143" s="67"/>
    </row>
    <row r="144" spans="1:4" ht="12.75">
      <c r="A144" s="54" t="s">
        <v>172</v>
      </c>
      <c r="B144" s="55" t="s">
        <v>170</v>
      </c>
      <c r="C144" s="66" t="s">
        <v>585</v>
      </c>
      <c r="D144" s="47" t="s">
        <v>586</v>
      </c>
    </row>
    <row r="145" spans="1:4" ht="12.75">
      <c r="A145" s="69" t="s">
        <v>174</v>
      </c>
      <c r="B145" s="55" t="s">
        <v>170</v>
      </c>
      <c r="C145" s="55">
        <v>7</v>
      </c>
      <c r="D145" s="68" t="s">
        <v>175</v>
      </c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D131"/>
  <sheetViews>
    <sheetView workbookViewId="0" topLeftCell="A52">
      <selection activeCell="A161" sqref="A161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226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227</v>
      </c>
    </row>
    <row r="8" spans="1:3" ht="12.75">
      <c r="A8" s="1" t="s">
        <v>7</v>
      </c>
      <c r="C8" s="4" t="s">
        <v>228</v>
      </c>
    </row>
    <row r="9" spans="1:3" ht="12.75">
      <c r="A9" s="1" t="s">
        <v>9</v>
      </c>
      <c r="C9" s="7" t="s">
        <v>229</v>
      </c>
    </row>
    <row r="10" ht="12.75">
      <c r="C10" s="7"/>
    </row>
    <row r="11" spans="1:3" ht="12.75">
      <c r="A11" s="1" t="s">
        <v>11</v>
      </c>
      <c r="C11" s="7" t="s">
        <v>230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83"/>
    </row>
    <row r="22" spans="1:3" ht="12.75">
      <c r="A22" s="1" t="s">
        <v>30</v>
      </c>
      <c r="B22" s="1" t="s">
        <v>31</v>
      </c>
      <c r="C22" s="83"/>
    </row>
    <row r="23" ht="12.75">
      <c r="C23" s="83"/>
    </row>
    <row r="24" spans="1:3" ht="12.75">
      <c r="A24" s="1" t="s">
        <v>32</v>
      </c>
      <c r="C24" s="71">
        <v>0.8349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311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311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1463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19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58.3</v>
      </c>
      <c r="D33" s="16" t="s">
        <v>48</v>
      </c>
    </row>
    <row r="34" spans="1:4" ht="25.5">
      <c r="A34" s="13" t="s">
        <v>49</v>
      </c>
      <c r="B34" s="17" t="s">
        <v>50</v>
      </c>
      <c r="C34" s="15">
        <v>311</v>
      </c>
      <c r="D34" s="16" t="s">
        <v>51</v>
      </c>
    </row>
    <row r="35" spans="1:4" ht="25.5">
      <c r="A35" s="13" t="s">
        <v>52</v>
      </c>
      <c r="B35" s="17" t="s">
        <v>39</v>
      </c>
      <c r="C35" s="15">
        <v>466</v>
      </c>
      <c r="D35" s="16" t="s">
        <v>53</v>
      </c>
    </row>
    <row r="36" spans="1:4" ht="12.75" hidden="1">
      <c r="A36" s="13" t="s">
        <v>54</v>
      </c>
      <c r="B36" s="17" t="s">
        <v>39</v>
      </c>
      <c r="C36" s="15"/>
      <c r="D36" s="16" t="s">
        <v>233</v>
      </c>
    </row>
    <row r="37" spans="1:4" ht="12.75" hidden="1">
      <c r="A37" s="13" t="s">
        <v>56</v>
      </c>
      <c r="B37" s="17" t="s">
        <v>39</v>
      </c>
      <c r="C37" s="15"/>
      <c r="D37" s="16" t="s">
        <v>233</v>
      </c>
    </row>
    <row r="38" spans="1:4" ht="12.75" hidden="1">
      <c r="A38" s="13" t="s">
        <v>59</v>
      </c>
      <c r="B38" s="17" t="s">
        <v>39</v>
      </c>
      <c r="C38" s="15"/>
      <c r="D38" s="16" t="s">
        <v>233</v>
      </c>
    </row>
    <row r="39" spans="1:4" ht="12.75">
      <c r="A39" s="13" t="s">
        <v>61</v>
      </c>
      <c r="B39" s="17" t="s">
        <v>39</v>
      </c>
      <c r="C39" s="15">
        <v>1642.5</v>
      </c>
      <c r="D39" s="16" t="s">
        <v>46</v>
      </c>
    </row>
    <row r="40" spans="1:4" ht="25.5">
      <c r="A40" s="13" t="s">
        <v>62</v>
      </c>
      <c r="B40" s="17" t="s">
        <v>39</v>
      </c>
      <c r="C40" s="73">
        <v>311</v>
      </c>
      <c r="D40" s="16" t="s">
        <v>53</v>
      </c>
    </row>
    <row r="41" spans="1:4" ht="12.75" hidden="1">
      <c r="A41" s="13" t="s">
        <v>63</v>
      </c>
      <c r="B41" s="17" t="s">
        <v>39</v>
      </c>
      <c r="C41" s="15"/>
      <c r="D41" s="16" t="s">
        <v>233</v>
      </c>
    </row>
    <row r="42" spans="1:4" ht="12.75" hidden="1">
      <c r="A42" s="13" t="s">
        <v>64</v>
      </c>
      <c r="B42" s="17" t="s">
        <v>39</v>
      </c>
      <c r="C42" s="15"/>
      <c r="D42" s="16" t="s">
        <v>233</v>
      </c>
    </row>
    <row r="43" spans="1:4" ht="12.75" hidden="1">
      <c r="A43" s="13" t="s">
        <v>65</v>
      </c>
      <c r="B43" s="17" t="s">
        <v>39</v>
      </c>
      <c r="C43" s="15"/>
      <c r="D43" s="16" t="s">
        <v>233</v>
      </c>
    </row>
    <row r="44" spans="1:4" ht="12.75" hidden="1">
      <c r="A44" s="13" t="s">
        <v>66</v>
      </c>
      <c r="B44" s="17" t="s">
        <v>67</v>
      </c>
      <c r="C44" s="15"/>
      <c r="D44" s="16" t="s">
        <v>233</v>
      </c>
    </row>
    <row r="45" spans="1:4" ht="12.75" hidden="1">
      <c r="A45" s="13" t="s">
        <v>68</v>
      </c>
      <c r="B45" s="17" t="s">
        <v>67</v>
      </c>
      <c r="C45" s="15"/>
      <c r="D45" s="16" t="s">
        <v>233</v>
      </c>
    </row>
    <row r="46" spans="1:4" ht="12.75" hidden="1">
      <c r="A46" s="13" t="s">
        <v>70</v>
      </c>
      <c r="B46" s="17" t="s">
        <v>39</v>
      </c>
      <c r="C46" s="15"/>
      <c r="D46" s="16" t="s">
        <v>233</v>
      </c>
    </row>
    <row r="47" spans="1:4" ht="12.75" hidden="1">
      <c r="A47" s="13" t="s">
        <v>72</v>
      </c>
      <c r="B47" s="17" t="s">
        <v>39</v>
      </c>
      <c r="C47" s="15"/>
      <c r="D47" s="16" t="s">
        <v>233</v>
      </c>
    </row>
    <row r="48" spans="1:4" ht="12.75" hidden="1">
      <c r="A48" s="13" t="s">
        <v>73</v>
      </c>
      <c r="B48" s="17" t="s">
        <v>67</v>
      </c>
      <c r="C48" s="15"/>
      <c r="D48" s="16" t="s">
        <v>233</v>
      </c>
    </row>
    <row r="49" spans="1:4" ht="12.75">
      <c r="A49" s="13" t="s">
        <v>74</v>
      </c>
      <c r="B49" s="17" t="s">
        <v>39</v>
      </c>
      <c r="C49" s="15">
        <v>770.5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25.5" customHeight="1">
      <c r="A55" s="13" t="s">
        <v>82</v>
      </c>
      <c r="B55" s="24" t="s">
        <v>79</v>
      </c>
      <c r="C55" s="24"/>
      <c r="D55" s="13" t="s">
        <v>83</v>
      </c>
    </row>
    <row r="56" spans="1:4" ht="25.5" customHeight="1">
      <c r="A56" s="13" t="s">
        <v>84</v>
      </c>
      <c r="B56" s="24" t="s">
        <v>79</v>
      </c>
      <c r="C56" s="24"/>
      <c r="D56" s="13" t="s">
        <v>83</v>
      </c>
    </row>
    <row r="57" spans="1:4" ht="25.5" customHeight="1">
      <c r="A57" s="13" t="s">
        <v>85</v>
      </c>
      <c r="B57" s="24" t="s">
        <v>79</v>
      </c>
      <c r="C57" s="24"/>
      <c r="D57" s="13" t="s">
        <v>86</v>
      </c>
    </row>
    <row r="58" spans="1:4" ht="27" customHeight="1">
      <c r="A58" s="13" t="s">
        <v>87</v>
      </c>
      <c r="B58" s="24" t="s">
        <v>79</v>
      </c>
      <c r="C58" s="24"/>
      <c r="D58" s="13" t="s">
        <v>88</v>
      </c>
    </row>
    <row r="59" spans="1:4" ht="25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5.5" customHeight="1">
      <c r="A61" s="13" t="s">
        <v>91</v>
      </c>
      <c r="B61" s="24" t="s">
        <v>79</v>
      </c>
      <c r="C61" s="24"/>
      <c r="D61" s="13" t="s">
        <v>92</v>
      </c>
    </row>
    <row r="62" spans="1:4" ht="28.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7.75" customHeight="1">
      <c r="A64" s="13" t="s">
        <v>96</v>
      </c>
      <c r="B64" s="24" t="s">
        <v>79</v>
      </c>
      <c r="C64" s="24"/>
      <c r="D64" s="13" t="s">
        <v>88</v>
      </c>
    </row>
    <row r="65" spans="1:4" ht="25.5" customHeight="1">
      <c r="A65" s="13" t="s">
        <v>97</v>
      </c>
      <c r="B65" s="24" t="s">
        <v>79</v>
      </c>
      <c r="C65" s="24"/>
      <c r="D65" s="13" t="s">
        <v>98</v>
      </c>
    </row>
    <row r="66" spans="1:4" ht="25.5" customHeight="1">
      <c r="A66" s="13" t="s">
        <v>99</v>
      </c>
      <c r="B66" s="24" t="s">
        <v>79</v>
      </c>
      <c r="C66" s="24"/>
      <c r="D66" s="13" t="s">
        <v>100</v>
      </c>
    </row>
    <row r="67" spans="1:4" ht="27.75" customHeight="1">
      <c r="A67" s="13" t="s">
        <v>101</v>
      </c>
      <c r="B67" s="24" t="s">
        <v>79</v>
      </c>
      <c r="C67" s="24"/>
      <c r="D67" s="13" t="s">
        <v>88</v>
      </c>
    </row>
    <row r="68" spans="1:4" ht="26.25" customHeight="1">
      <c r="A68" s="13" t="s">
        <v>102</v>
      </c>
      <c r="B68" s="24" t="s">
        <v>79</v>
      </c>
      <c r="C68" s="24"/>
      <c r="D68" s="13" t="s">
        <v>60</v>
      </c>
    </row>
    <row r="69" spans="1:4" ht="30" customHeight="1">
      <c r="A69" s="13" t="s">
        <v>103</v>
      </c>
      <c r="B69" s="24" t="s">
        <v>79</v>
      </c>
      <c r="C69" s="24"/>
      <c r="D69" s="13" t="s">
        <v>104</v>
      </c>
    </row>
    <row r="70" spans="1:4" ht="25.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.75" customHeight="1">
      <c r="A72" s="13" t="s">
        <v>89</v>
      </c>
      <c r="B72" s="24" t="s">
        <v>79</v>
      </c>
      <c r="C72" s="24"/>
      <c r="D72" s="13" t="s">
        <v>40</v>
      </c>
    </row>
    <row r="73" spans="1:4" ht="25.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4" ht="27.75" customHeight="1">
      <c r="A75" s="13" t="s">
        <v>111</v>
      </c>
      <c r="B75" s="14" t="s">
        <v>112</v>
      </c>
      <c r="C75" s="15">
        <f>201*1.15*12</f>
        <v>2773.7999999999997</v>
      </c>
      <c r="D75" s="74" t="s">
        <v>69</v>
      </c>
    </row>
    <row r="76" spans="1:4" ht="12.75">
      <c r="A76" s="13" t="s">
        <v>113</v>
      </c>
      <c r="B76" s="33" t="s">
        <v>112</v>
      </c>
      <c r="C76" s="15">
        <f>0.75*4*2*51</f>
        <v>306</v>
      </c>
      <c r="D76" s="74" t="s">
        <v>114</v>
      </c>
    </row>
    <row r="77" spans="1:4" ht="12.75">
      <c r="A77" s="13" t="s">
        <v>115</v>
      </c>
      <c r="B77" s="14" t="s">
        <v>67</v>
      </c>
      <c r="C77" s="15">
        <v>5</v>
      </c>
      <c r="D77" s="74" t="s">
        <v>116</v>
      </c>
    </row>
    <row r="78" spans="1:4" ht="12.75" customHeight="1">
      <c r="A78" s="75" t="s">
        <v>117</v>
      </c>
      <c r="B78" s="75"/>
      <c r="C78" s="76"/>
      <c r="D78" s="77"/>
    </row>
    <row r="79" spans="1:4" ht="12.75">
      <c r="A79" s="35" t="s">
        <v>118</v>
      </c>
      <c r="B79" s="36"/>
      <c r="C79" s="37"/>
      <c r="D79" s="45"/>
    </row>
    <row r="80" spans="1:4" s="1" customFormat="1" ht="12.75">
      <c r="A80" s="87" t="s">
        <v>234</v>
      </c>
      <c r="B80" s="41" t="s">
        <v>67</v>
      </c>
      <c r="C80" s="41">
        <f>14+14</f>
        <v>28</v>
      </c>
      <c r="D80" s="68"/>
    </row>
    <row r="81" spans="1:4" ht="12.75">
      <c r="A81" s="35" t="s">
        <v>235</v>
      </c>
      <c r="B81" s="36"/>
      <c r="C81" s="36"/>
      <c r="D81" s="45"/>
    </row>
    <row r="82" spans="1:4" ht="12.75">
      <c r="A82" s="39" t="s">
        <v>236</v>
      </c>
      <c r="B82" s="40" t="s">
        <v>67</v>
      </c>
      <c r="C82" s="40">
        <v>6</v>
      </c>
      <c r="D82" s="42"/>
    </row>
    <row r="83" spans="1:4" ht="12.75">
      <c r="A83" s="88" t="s">
        <v>237</v>
      </c>
      <c r="B83" s="40" t="s">
        <v>67</v>
      </c>
      <c r="C83" s="40">
        <f>2</f>
        <v>2</v>
      </c>
      <c r="D83" s="42"/>
    </row>
    <row r="84" spans="1:4" ht="12.75">
      <c r="A84" s="35" t="s">
        <v>126</v>
      </c>
      <c r="B84" s="36"/>
      <c r="C84" s="36"/>
      <c r="D84" s="45"/>
    </row>
    <row r="85" spans="1:4" ht="12.75">
      <c r="A85" s="43" t="s">
        <v>212</v>
      </c>
      <c r="B85" s="46" t="s">
        <v>67</v>
      </c>
      <c r="C85" s="41">
        <f>1</f>
        <v>1</v>
      </c>
      <c r="D85" s="42"/>
    </row>
    <row r="86" spans="1:4" ht="12.75">
      <c r="A86" s="43" t="s">
        <v>129</v>
      </c>
      <c r="B86" s="40" t="s">
        <v>67</v>
      </c>
      <c r="C86" s="41">
        <f>4+1</f>
        <v>5</v>
      </c>
      <c r="D86" s="42"/>
    </row>
    <row r="87" spans="1:4" ht="12.75">
      <c r="A87" s="43" t="s">
        <v>131</v>
      </c>
      <c r="B87" s="40" t="s">
        <v>67</v>
      </c>
      <c r="C87" s="41">
        <f>1+1+1</f>
        <v>3</v>
      </c>
      <c r="D87" s="42"/>
    </row>
    <row r="88" spans="1:4" ht="12.75">
      <c r="A88" s="43" t="s">
        <v>134</v>
      </c>
      <c r="B88" s="40" t="s">
        <v>39</v>
      </c>
      <c r="C88" s="41">
        <f>4.8+0.2+0.2</f>
        <v>5.2</v>
      </c>
      <c r="D88" s="42"/>
    </row>
    <row r="89" spans="1:4" ht="12.75">
      <c r="A89" s="43" t="s">
        <v>135</v>
      </c>
      <c r="B89" s="40" t="s">
        <v>67</v>
      </c>
      <c r="C89" s="41">
        <v>5</v>
      </c>
      <c r="D89" s="42"/>
    </row>
    <row r="90" spans="1:4" ht="12.75">
      <c r="A90" s="35" t="s">
        <v>238</v>
      </c>
      <c r="B90" s="36"/>
      <c r="C90" s="36"/>
      <c r="D90" s="45"/>
    </row>
    <row r="91" spans="1:4" ht="12.75">
      <c r="A91" s="43" t="s">
        <v>239</v>
      </c>
      <c r="B91" s="40" t="s">
        <v>133</v>
      </c>
      <c r="C91" s="40">
        <f>41.9</f>
        <v>41.9</v>
      </c>
      <c r="D91" s="42"/>
    </row>
    <row r="92" spans="1:4" ht="12.75">
      <c r="A92" s="35" t="s">
        <v>139</v>
      </c>
      <c r="B92" s="36"/>
      <c r="C92" s="36"/>
      <c r="D92" s="45"/>
    </row>
    <row r="93" spans="1:4" ht="12.75">
      <c r="A93" s="39" t="s">
        <v>140</v>
      </c>
      <c r="B93" s="40" t="s">
        <v>39</v>
      </c>
      <c r="C93" s="40">
        <v>7.5</v>
      </c>
      <c r="D93" s="42"/>
    </row>
    <row r="94" spans="1:4" ht="12.75">
      <c r="A94" s="79" t="s">
        <v>240</v>
      </c>
      <c r="B94" s="40" t="s">
        <v>133</v>
      </c>
      <c r="C94" s="41">
        <v>60</v>
      </c>
      <c r="D94" s="42"/>
    </row>
    <row r="95" spans="1:4" ht="12.75">
      <c r="A95" s="35" t="s">
        <v>213</v>
      </c>
      <c r="B95" s="36"/>
      <c r="C95" s="36"/>
      <c r="D95" s="45"/>
    </row>
    <row r="96" spans="1:4" ht="12.75">
      <c r="A96" s="43" t="s">
        <v>184</v>
      </c>
      <c r="B96" s="41" t="s">
        <v>39</v>
      </c>
      <c r="C96" s="41">
        <v>1.5</v>
      </c>
      <c r="D96" s="42"/>
    </row>
    <row r="97" spans="1:4" s="1" customFormat="1" ht="12.75">
      <c r="A97" s="80" t="s">
        <v>241</v>
      </c>
      <c r="B97" s="41" t="s">
        <v>67</v>
      </c>
      <c r="C97" s="41">
        <v>1</v>
      </c>
      <c r="D97" s="68"/>
    </row>
    <row r="98" spans="1:4" ht="12.75">
      <c r="A98" s="49" t="s">
        <v>141</v>
      </c>
      <c r="B98" s="36"/>
      <c r="C98" s="50"/>
      <c r="D98" s="45"/>
    </row>
    <row r="99" spans="1:4" ht="12.75">
      <c r="A99" s="51" t="s">
        <v>216</v>
      </c>
      <c r="B99" s="41" t="s">
        <v>67</v>
      </c>
      <c r="C99" s="41">
        <f>1+1</f>
        <v>2</v>
      </c>
      <c r="D99" s="42"/>
    </row>
    <row r="100" spans="1:4" s="1" customFormat="1" ht="12.75">
      <c r="A100" s="51" t="s">
        <v>242</v>
      </c>
      <c r="B100" s="41" t="s">
        <v>67</v>
      </c>
      <c r="C100" s="41">
        <v>2</v>
      </c>
      <c r="D100" s="68" t="s">
        <v>186</v>
      </c>
    </row>
    <row r="101" spans="1:4" ht="12.75">
      <c r="A101" s="49" t="s">
        <v>145</v>
      </c>
      <c r="B101" s="36"/>
      <c r="C101" s="36"/>
      <c r="D101" s="45"/>
    </row>
    <row r="102" spans="1:4" ht="12.75">
      <c r="A102" s="52" t="s">
        <v>194</v>
      </c>
      <c r="B102" s="41" t="s">
        <v>133</v>
      </c>
      <c r="C102" s="40">
        <f>2.7*3+5+4.5</f>
        <v>17.6</v>
      </c>
      <c r="D102" s="42"/>
    </row>
    <row r="103" spans="1:4" ht="12.75">
      <c r="A103" s="52" t="s">
        <v>222</v>
      </c>
      <c r="B103" s="41" t="s">
        <v>112</v>
      </c>
      <c r="C103" s="40">
        <v>28</v>
      </c>
      <c r="D103" s="42"/>
    </row>
    <row r="104" spans="1:4" ht="12.75">
      <c r="A104" s="52" t="s">
        <v>195</v>
      </c>
      <c r="B104" s="41" t="s">
        <v>112</v>
      </c>
      <c r="C104" s="40">
        <v>14</v>
      </c>
      <c r="D104" s="42"/>
    </row>
    <row r="105" spans="1:4" ht="12.75">
      <c r="A105" s="52" t="s">
        <v>243</v>
      </c>
      <c r="B105" s="41" t="s">
        <v>39</v>
      </c>
      <c r="C105" s="40">
        <v>720</v>
      </c>
      <c r="D105" s="42"/>
    </row>
    <row r="106" spans="1:4" ht="12.75">
      <c r="A106" s="52" t="s">
        <v>147</v>
      </c>
      <c r="B106" s="40" t="s">
        <v>67</v>
      </c>
      <c r="C106" s="40">
        <f>1+4</f>
        <v>5</v>
      </c>
      <c r="D106" s="42"/>
    </row>
    <row r="107" spans="1:4" s="1" customFormat="1" ht="12.75">
      <c r="A107" s="80" t="s">
        <v>151</v>
      </c>
      <c r="B107" s="41" t="s">
        <v>39</v>
      </c>
      <c r="C107" s="41">
        <v>460</v>
      </c>
      <c r="D107" s="68" t="s">
        <v>130</v>
      </c>
    </row>
    <row r="108" spans="1:4" ht="12.75">
      <c r="A108" s="52" t="s">
        <v>197</v>
      </c>
      <c r="B108" s="41" t="s">
        <v>67</v>
      </c>
      <c r="C108" s="40">
        <f>6+1</f>
        <v>7</v>
      </c>
      <c r="D108" s="42"/>
    </row>
    <row r="109" spans="1:4" ht="12.75">
      <c r="A109" s="52" t="s">
        <v>198</v>
      </c>
      <c r="B109" s="41" t="s">
        <v>67</v>
      </c>
      <c r="C109" s="40">
        <f>2</f>
        <v>2</v>
      </c>
      <c r="D109" s="42"/>
    </row>
    <row r="110" spans="1:4" ht="12.75">
      <c r="A110" s="52" t="s">
        <v>154</v>
      </c>
      <c r="B110" s="41" t="s">
        <v>67</v>
      </c>
      <c r="C110" s="40">
        <v>1</v>
      </c>
      <c r="D110" s="42"/>
    </row>
    <row r="111" spans="1:4" ht="12.75">
      <c r="A111" s="52" t="s">
        <v>199</v>
      </c>
      <c r="B111" s="41" t="s">
        <v>67</v>
      </c>
      <c r="C111" s="40">
        <f>1+1</f>
        <v>2</v>
      </c>
      <c r="D111" s="42"/>
    </row>
    <row r="112" spans="1:4" ht="12.75">
      <c r="A112" s="51" t="s">
        <v>244</v>
      </c>
      <c r="B112" s="40" t="s">
        <v>39</v>
      </c>
      <c r="C112" s="40">
        <f>50+6</f>
        <v>56</v>
      </c>
      <c r="D112" s="42"/>
    </row>
    <row r="113" spans="1:4" ht="12.75">
      <c r="A113" s="49" t="s">
        <v>157</v>
      </c>
      <c r="B113" s="36"/>
      <c r="C113" s="36"/>
      <c r="D113" s="45"/>
    </row>
    <row r="114" spans="1:4" s="1" customFormat="1" ht="12.75">
      <c r="A114" s="51" t="s">
        <v>158</v>
      </c>
      <c r="B114" s="40" t="s">
        <v>67</v>
      </c>
      <c r="C114" s="40">
        <v>14</v>
      </c>
      <c r="D114" s="68" t="s">
        <v>130</v>
      </c>
    </row>
    <row r="115" spans="1:4" s="1" customFormat="1" ht="12.75">
      <c r="A115" s="80" t="s">
        <v>202</v>
      </c>
      <c r="B115" s="41" t="s">
        <v>39</v>
      </c>
      <c r="C115" s="41">
        <v>462</v>
      </c>
      <c r="D115" s="44"/>
    </row>
    <row r="116" spans="1:4" s="1" customFormat="1" ht="12.75">
      <c r="A116" s="80" t="s">
        <v>245</v>
      </c>
      <c r="B116" s="41" t="s">
        <v>39</v>
      </c>
      <c r="C116" s="41">
        <v>24</v>
      </c>
      <c r="D116" s="44"/>
    </row>
    <row r="117" spans="1:4" ht="12.75">
      <c r="A117" s="51" t="s">
        <v>159</v>
      </c>
      <c r="B117" s="40" t="s">
        <v>67</v>
      </c>
      <c r="C117" s="40">
        <v>4</v>
      </c>
      <c r="D117" s="42"/>
    </row>
    <row r="118" spans="1:4" ht="12.75">
      <c r="A118" s="51" t="s">
        <v>246</v>
      </c>
      <c r="B118" s="40" t="s">
        <v>122</v>
      </c>
      <c r="C118" s="40">
        <v>1</v>
      </c>
      <c r="D118" s="42"/>
    </row>
    <row r="119" spans="1:4" ht="12.75">
      <c r="A119" s="51" t="s">
        <v>160</v>
      </c>
      <c r="B119" s="40" t="s">
        <v>67</v>
      </c>
      <c r="C119" s="40">
        <v>4</v>
      </c>
      <c r="D119" s="42"/>
    </row>
    <row r="120" spans="1:4" ht="12.75">
      <c r="A120" s="51" t="s">
        <v>247</v>
      </c>
      <c r="B120" s="40" t="s">
        <v>67</v>
      </c>
      <c r="C120" s="40">
        <v>4</v>
      </c>
      <c r="D120" s="42"/>
    </row>
    <row r="121" spans="1:4" ht="25.5">
      <c r="A121" s="35" t="s">
        <v>161</v>
      </c>
      <c r="B121" s="36"/>
      <c r="C121" s="60"/>
      <c r="D121" s="45"/>
    </row>
    <row r="122" spans="1:4" ht="12.75">
      <c r="A122" s="54" t="s">
        <v>162</v>
      </c>
      <c r="B122" s="55" t="s">
        <v>39</v>
      </c>
      <c r="C122" s="56">
        <v>770.5</v>
      </c>
      <c r="D122" s="57" t="s">
        <v>44</v>
      </c>
    </row>
    <row r="123" spans="1:4" ht="25.5">
      <c r="A123" s="54" t="s">
        <v>163</v>
      </c>
      <c r="B123" s="58" t="s">
        <v>39</v>
      </c>
      <c r="C123" s="56">
        <v>770.5</v>
      </c>
      <c r="D123" s="59" t="s">
        <v>164</v>
      </c>
    </row>
    <row r="124" spans="1:4" ht="13.5" customHeight="1">
      <c r="A124" s="35" t="s">
        <v>165</v>
      </c>
      <c r="B124" s="36"/>
      <c r="C124" s="60"/>
      <c r="D124" s="45"/>
    </row>
    <row r="125" spans="1:4" ht="12.75">
      <c r="A125" s="54" t="s">
        <v>162</v>
      </c>
      <c r="B125" s="55" t="s">
        <v>39</v>
      </c>
      <c r="C125" s="56">
        <f>770.5+107.52</f>
        <v>878.02</v>
      </c>
      <c r="D125" s="57" t="s">
        <v>44</v>
      </c>
    </row>
    <row r="126" spans="1:4" ht="12.75">
      <c r="A126" s="54" t="s">
        <v>163</v>
      </c>
      <c r="B126" s="55" t="s">
        <v>39</v>
      </c>
      <c r="C126" s="56">
        <f>770.5+107.52</f>
        <v>878.02</v>
      </c>
      <c r="D126" s="59" t="s">
        <v>164</v>
      </c>
    </row>
    <row r="127" spans="1:4" ht="14.25" customHeight="1">
      <c r="A127" s="35" t="s">
        <v>166</v>
      </c>
      <c r="B127" s="36"/>
      <c r="C127" s="60"/>
      <c r="D127" s="45"/>
    </row>
    <row r="128" spans="1:4" ht="12.75">
      <c r="A128" s="54" t="s">
        <v>162</v>
      </c>
      <c r="B128" s="55" t="s">
        <v>39</v>
      </c>
      <c r="C128" s="56">
        <f>770.5+302.4+8.2</f>
        <v>1081.1000000000001</v>
      </c>
      <c r="D128" s="47" t="s">
        <v>175</v>
      </c>
    </row>
    <row r="129" spans="1:4" ht="12.75">
      <c r="A129" s="54" t="s">
        <v>163</v>
      </c>
      <c r="B129" s="58" t="s">
        <v>39</v>
      </c>
      <c r="C129" s="56">
        <f>770.5+302.4+8.2</f>
        <v>1081.1000000000001</v>
      </c>
      <c r="D129" s="89" t="s">
        <v>164</v>
      </c>
    </row>
    <row r="131" ht="12.75">
      <c r="A131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4"/>
  </sheetPr>
  <dimension ref="A1:F123"/>
  <sheetViews>
    <sheetView workbookViewId="0" topLeftCell="A106">
      <selection activeCell="A124" sqref="A124"/>
    </sheetView>
  </sheetViews>
  <sheetFormatPr defaultColWidth="9.00390625" defaultRowHeight="12.75"/>
  <cols>
    <col min="1" max="1" width="49.125" style="0" customWidth="1"/>
    <col min="3" max="3" width="16.00390625" style="0" customWidth="1"/>
    <col min="4" max="4" width="21.375" style="0" customWidth="1"/>
    <col min="6" max="6" width="12.37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587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588</v>
      </c>
    </row>
    <row r="8" spans="1:3" ht="12.75">
      <c r="A8" t="s">
        <v>7</v>
      </c>
      <c r="C8" s="4" t="s">
        <v>589</v>
      </c>
    </row>
    <row r="9" spans="1:3" ht="12.75">
      <c r="A9" t="s">
        <v>9</v>
      </c>
      <c r="C9" s="7" t="s">
        <v>590</v>
      </c>
    </row>
    <row r="10" ht="12.75">
      <c r="C10" s="7"/>
    </row>
    <row r="11" spans="1:3" ht="12.75">
      <c r="A11" t="s">
        <v>11</v>
      </c>
      <c r="C11" s="7" t="s">
        <v>591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9">
        <v>0.837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4" ht="12.75">
      <c r="A27" s="11" t="s">
        <v>34</v>
      </c>
      <c r="B27" s="11" t="s">
        <v>35</v>
      </c>
      <c r="C27" s="11" t="s">
        <v>36</v>
      </c>
      <c r="D27" s="12" t="s">
        <v>37</v>
      </c>
    </row>
    <row r="28" spans="1:4" ht="38.25" customHeight="1">
      <c r="A28" s="13" t="s">
        <v>38</v>
      </c>
      <c r="B28" s="14" t="s">
        <v>39</v>
      </c>
      <c r="C28" s="15">
        <v>522.3</v>
      </c>
      <c r="D28" s="16" t="s">
        <v>40</v>
      </c>
    </row>
    <row r="29" spans="1:4" ht="15" customHeight="1">
      <c r="A29" s="13" t="s">
        <v>41</v>
      </c>
      <c r="B29" s="14" t="s">
        <v>39</v>
      </c>
      <c r="C29" s="15">
        <v>522.3</v>
      </c>
      <c r="D29" s="16" t="s">
        <v>42</v>
      </c>
    </row>
    <row r="30" spans="1:4" ht="12.75">
      <c r="A30" s="13" t="s">
        <v>43</v>
      </c>
      <c r="B30" s="14" t="s">
        <v>39</v>
      </c>
      <c r="C30" s="15">
        <v>2402</v>
      </c>
      <c r="D30" s="16" t="s">
        <v>44</v>
      </c>
    </row>
    <row r="31" spans="1:4" ht="15" customHeight="1">
      <c r="A31" s="13" t="s">
        <v>45</v>
      </c>
      <c r="B31" s="14" t="s">
        <v>39</v>
      </c>
      <c r="C31" s="15">
        <v>10</v>
      </c>
      <c r="D31" s="16" t="s">
        <v>46</v>
      </c>
    </row>
    <row r="32" spans="1:4" ht="25.5" customHeight="1">
      <c r="A32" s="13" t="s">
        <v>47</v>
      </c>
      <c r="B32" s="17" t="s">
        <v>39</v>
      </c>
      <c r="C32" s="15">
        <v>29.2</v>
      </c>
      <c r="D32" s="16" t="s">
        <v>48</v>
      </c>
    </row>
    <row r="33" spans="1:4" ht="27" customHeight="1">
      <c r="A33" s="13" t="s">
        <v>49</v>
      </c>
      <c r="B33" s="17" t="s">
        <v>50</v>
      </c>
      <c r="C33" s="73">
        <v>522.3</v>
      </c>
      <c r="D33" s="16" t="s">
        <v>51</v>
      </c>
    </row>
    <row r="34" spans="1:4" ht="26.25" customHeight="1">
      <c r="A34" s="13" t="s">
        <v>52</v>
      </c>
      <c r="B34" s="17" t="s">
        <v>39</v>
      </c>
      <c r="C34" s="15">
        <v>784</v>
      </c>
      <c r="D34" s="16" t="s">
        <v>53</v>
      </c>
    </row>
    <row r="35" spans="1:4" ht="15.75" customHeight="1">
      <c r="A35" s="13" t="s">
        <v>54</v>
      </c>
      <c r="B35" s="17" t="s">
        <v>39</v>
      </c>
      <c r="C35" s="15"/>
      <c r="D35" s="16" t="s">
        <v>233</v>
      </c>
    </row>
    <row r="36" spans="1:4" ht="16.5" customHeight="1">
      <c r="A36" s="13" t="s">
        <v>56</v>
      </c>
      <c r="B36" s="17" t="s">
        <v>39</v>
      </c>
      <c r="C36" s="15"/>
      <c r="D36" s="16" t="s">
        <v>233</v>
      </c>
    </row>
    <row r="37" spans="1:4" ht="12.75">
      <c r="A37" s="13" t="s">
        <v>59</v>
      </c>
      <c r="B37" s="17" t="s">
        <v>39</v>
      </c>
      <c r="C37" s="15"/>
      <c r="D37" s="16" t="s">
        <v>233</v>
      </c>
    </row>
    <row r="38" spans="1:4" ht="14.25" customHeight="1">
      <c r="A38" s="13" t="s">
        <v>61</v>
      </c>
      <c r="B38" s="17" t="s">
        <v>39</v>
      </c>
      <c r="C38" s="15">
        <v>1924.4</v>
      </c>
      <c r="D38" s="16" t="s">
        <v>46</v>
      </c>
    </row>
    <row r="39" spans="1:4" ht="27" customHeight="1">
      <c r="A39" s="13" t="s">
        <v>62</v>
      </c>
      <c r="B39" s="17" t="s">
        <v>39</v>
      </c>
      <c r="C39" s="73">
        <v>522.3</v>
      </c>
      <c r="D39" s="16" t="s">
        <v>53</v>
      </c>
    </row>
    <row r="40" spans="1:4" ht="15" customHeight="1">
      <c r="A40" s="13" t="s">
        <v>63</v>
      </c>
      <c r="B40" s="17" t="s">
        <v>39</v>
      </c>
      <c r="C40" s="15"/>
      <c r="D40" s="16" t="s">
        <v>233</v>
      </c>
    </row>
    <row r="41" spans="1:4" ht="15" customHeight="1">
      <c r="A41" s="13" t="s">
        <v>64</v>
      </c>
      <c r="B41" s="17" t="s">
        <v>39</v>
      </c>
      <c r="C41" s="15"/>
      <c r="D41" s="16" t="s">
        <v>233</v>
      </c>
    </row>
    <row r="42" spans="1:4" ht="13.5" customHeight="1">
      <c r="A42" s="13" t="s">
        <v>65</v>
      </c>
      <c r="B42" s="17" t="s">
        <v>39</v>
      </c>
      <c r="C42" s="15"/>
      <c r="D42" s="16" t="s">
        <v>233</v>
      </c>
    </row>
    <row r="43" spans="1:4" ht="15.75" customHeight="1">
      <c r="A43" s="13" t="s">
        <v>66</v>
      </c>
      <c r="B43" s="17" t="s">
        <v>67</v>
      </c>
      <c r="C43" s="15"/>
      <c r="D43" s="16" t="s">
        <v>233</v>
      </c>
    </row>
    <row r="44" spans="1:4" ht="27" customHeight="1">
      <c r="A44" s="13" t="s">
        <v>68</v>
      </c>
      <c r="B44" s="17" t="s">
        <v>67</v>
      </c>
      <c r="C44" s="15"/>
      <c r="D44" s="16" t="s">
        <v>233</v>
      </c>
    </row>
    <row r="45" spans="1:4" ht="14.25" customHeight="1">
      <c r="A45" s="13" t="s">
        <v>70</v>
      </c>
      <c r="B45" s="17" t="s">
        <v>39</v>
      </c>
      <c r="C45" s="15"/>
      <c r="D45" s="16" t="s">
        <v>233</v>
      </c>
    </row>
    <row r="46" spans="1:4" ht="15" customHeight="1">
      <c r="A46" s="13" t="s">
        <v>72</v>
      </c>
      <c r="B46" s="17" t="s">
        <v>39</v>
      </c>
      <c r="C46" s="15"/>
      <c r="D46" s="16" t="s">
        <v>233</v>
      </c>
    </row>
    <row r="47" spans="1:4" ht="15" customHeight="1">
      <c r="A47" s="13" t="s">
        <v>73</v>
      </c>
      <c r="B47" s="17" t="s">
        <v>67</v>
      </c>
      <c r="C47" s="15"/>
      <c r="D47" s="16" t="s">
        <v>233</v>
      </c>
    </row>
    <row r="48" spans="1:4" ht="16.5" customHeight="1">
      <c r="A48" s="13" t="s">
        <v>74</v>
      </c>
      <c r="B48" s="17" t="s">
        <v>39</v>
      </c>
      <c r="C48" s="15">
        <v>962.2</v>
      </c>
      <c r="D48" s="16" t="s">
        <v>60</v>
      </c>
    </row>
    <row r="49" spans="1:4" ht="12.75" customHeight="1">
      <c r="A49" s="18" t="s">
        <v>75</v>
      </c>
      <c r="B49" s="18"/>
      <c r="C49" s="18"/>
      <c r="D49" s="19"/>
    </row>
    <row r="50" spans="1:4" ht="12.75" customHeight="1">
      <c r="A50" s="20" t="s">
        <v>76</v>
      </c>
      <c r="B50" s="20"/>
      <c r="C50" s="20"/>
      <c r="D50" s="21"/>
    </row>
    <row r="51" spans="1:4" ht="12.75" customHeight="1">
      <c r="A51" s="22" t="s">
        <v>77</v>
      </c>
      <c r="B51" s="22"/>
      <c r="C51" s="22"/>
      <c r="D51" s="23"/>
    </row>
    <row r="52" spans="1:4" ht="25.5" customHeight="1">
      <c r="A52" s="13" t="s">
        <v>78</v>
      </c>
      <c r="B52" s="24" t="s">
        <v>79</v>
      </c>
      <c r="C52" s="24"/>
      <c r="D52" s="13" t="s">
        <v>80</v>
      </c>
    </row>
    <row r="53" spans="1:4" ht="25.5" customHeight="1">
      <c r="A53" s="13" t="s">
        <v>81</v>
      </c>
      <c r="B53" s="24" t="s">
        <v>79</v>
      </c>
      <c r="C53" s="24"/>
      <c r="D53" s="13" t="s">
        <v>80</v>
      </c>
    </row>
    <row r="54" spans="1:4" ht="31.5" customHeight="1">
      <c r="A54" s="13" t="s">
        <v>82</v>
      </c>
      <c r="B54" s="24" t="s">
        <v>79</v>
      </c>
      <c r="C54" s="24"/>
      <c r="D54" s="13" t="s">
        <v>83</v>
      </c>
    </row>
    <row r="55" spans="1:4" ht="30.75" customHeight="1">
      <c r="A55" s="13" t="s">
        <v>84</v>
      </c>
      <c r="B55" s="24" t="s">
        <v>79</v>
      </c>
      <c r="C55" s="24"/>
      <c r="D55" s="13" t="s">
        <v>83</v>
      </c>
    </row>
    <row r="56" spans="1:4" ht="30.75" customHeight="1">
      <c r="A56" s="13" t="s">
        <v>85</v>
      </c>
      <c r="B56" s="24" t="s">
        <v>79</v>
      </c>
      <c r="C56" s="24"/>
      <c r="D56" s="13" t="s">
        <v>86</v>
      </c>
    </row>
    <row r="57" spans="1:4" ht="12.75" customHeight="1">
      <c r="A57" s="13" t="s">
        <v>87</v>
      </c>
      <c r="B57" s="24" t="s">
        <v>79</v>
      </c>
      <c r="C57" s="24"/>
      <c r="D57" s="13" t="s">
        <v>88</v>
      </c>
    </row>
    <row r="58" spans="1:4" ht="28.5" customHeight="1">
      <c r="A58" s="13" t="s">
        <v>89</v>
      </c>
      <c r="B58" s="24" t="s">
        <v>79</v>
      </c>
      <c r="C58" s="24"/>
      <c r="D58" s="13" t="s">
        <v>40</v>
      </c>
    </row>
    <row r="59" spans="1:4" ht="25.5" customHeight="1">
      <c r="A59" s="13" t="s">
        <v>90</v>
      </c>
      <c r="B59" s="24" t="s">
        <v>79</v>
      </c>
      <c r="C59" s="24"/>
      <c r="D59" s="13" t="s">
        <v>88</v>
      </c>
    </row>
    <row r="60" spans="1:4" ht="28.5" customHeight="1">
      <c r="A60" s="13" t="s">
        <v>91</v>
      </c>
      <c r="B60" s="24" t="s">
        <v>79</v>
      </c>
      <c r="C60" s="24"/>
      <c r="D60" s="13" t="s">
        <v>92</v>
      </c>
    </row>
    <row r="61" spans="1:4" ht="24.75" customHeight="1">
      <c r="A61" s="13" t="s">
        <v>93</v>
      </c>
      <c r="B61" s="24" t="s">
        <v>79</v>
      </c>
      <c r="C61" s="24"/>
      <c r="D61" s="86" t="s">
        <v>94</v>
      </c>
    </row>
    <row r="62" spans="1:4" ht="12.75" customHeight="1">
      <c r="A62" s="28" t="s">
        <v>95</v>
      </c>
      <c r="B62" s="28"/>
      <c r="C62" s="29"/>
      <c r="D62" s="30"/>
    </row>
    <row r="63" spans="1:4" ht="25.5" customHeight="1">
      <c r="A63" s="13" t="s">
        <v>96</v>
      </c>
      <c r="B63" s="24" t="s">
        <v>79</v>
      </c>
      <c r="C63" s="24"/>
      <c r="D63" s="13" t="s">
        <v>88</v>
      </c>
    </row>
    <row r="64" spans="1:4" ht="30.75" customHeight="1">
      <c r="A64" s="13" t="s">
        <v>97</v>
      </c>
      <c r="B64" s="24" t="s">
        <v>79</v>
      </c>
      <c r="C64" s="24"/>
      <c r="D64" s="13" t="s">
        <v>98</v>
      </c>
    </row>
    <row r="65" spans="1:4" ht="27.75" customHeight="1">
      <c r="A65" s="13" t="s">
        <v>99</v>
      </c>
      <c r="B65" s="24" t="s">
        <v>79</v>
      </c>
      <c r="C65" s="24"/>
      <c r="D65" s="13" t="s">
        <v>100</v>
      </c>
    </row>
    <row r="66" spans="1:4" ht="26.25" customHeight="1">
      <c r="A66" s="13" t="s">
        <v>101</v>
      </c>
      <c r="B66" s="24" t="s">
        <v>79</v>
      </c>
      <c r="C66" s="24"/>
      <c r="D66" s="13" t="s">
        <v>88</v>
      </c>
    </row>
    <row r="67" spans="1:4" ht="26.25" customHeight="1">
      <c r="A67" s="13" t="s">
        <v>102</v>
      </c>
      <c r="B67" s="24" t="s">
        <v>79</v>
      </c>
      <c r="C67" s="24"/>
      <c r="D67" s="13" t="s">
        <v>60</v>
      </c>
    </row>
    <row r="68" spans="1:4" ht="24.75" customHeight="1">
      <c r="A68" s="13" t="s">
        <v>103</v>
      </c>
      <c r="B68" s="24" t="s">
        <v>79</v>
      </c>
      <c r="C68" s="24"/>
      <c r="D68" s="13" t="s">
        <v>104</v>
      </c>
    </row>
    <row r="69" spans="1:4" ht="27.75" customHeight="1">
      <c r="A69" s="13" t="s">
        <v>105</v>
      </c>
      <c r="B69" s="24" t="s">
        <v>79</v>
      </c>
      <c r="C69" s="24"/>
      <c r="D69" s="13" t="s">
        <v>106</v>
      </c>
    </row>
    <row r="70" spans="1:4" ht="25.5" customHeight="1">
      <c r="A70" s="13" t="s">
        <v>107</v>
      </c>
      <c r="B70" s="24" t="s">
        <v>79</v>
      </c>
      <c r="C70" s="24"/>
      <c r="D70" s="13" t="s">
        <v>108</v>
      </c>
    </row>
    <row r="71" spans="1:4" ht="25.5" customHeight="1">
      <c r="A71" s="13" t="s">
        <v>89</v>
      </c>
      <c r="B71" s="24" t="s">
        <v>79</v>
      </c>
      <c r="C71" s="24"/>
      <c r="D71" s="13" t="s">
        <v>40</v>
      </c>
    </row>
    <row r="72" spans="1:4" ht="27.75" customHeight="1">
      <c r="A72" s="13" t="s">
        <v>109</v>
      </c>
      <c r="B72" s="24" t="s">
        <v>79</v>
      </c>
      <c r="C72" s="24"/>
      <c r="D72" s="13" t="s">
        <v>108</v>
      </c>
    </row>
    <row r="73" spans="1:4" ht="12.75" customHeight="1">
      <c r="A73" s="28" t="s">
        <v>110</v>
      </c>
      <c r="B73" s="28"/>
      <c r="C73" s="31"/>
      <c r="D73" s="30"/>
    </row>
    <row r="74" spans="1:5" ht="27.75" customHeight="1">
      <c r="A74" s="13" t="s">
        <v>111</v>
      </c>
      <c r="B74" s="14" t="s">
        <v>112</v>
      </c>
      <c r="C74" s="15">
        <f>234*1.15*12</f>
        <v>3229.2</v>
      </c>
      <c r="D74" s="74" t="s">
        <v>69</v>
      </c>
      <c r="E74" s="8"/>
    </row>
    <row r="75" spans="1:4" ht="17.25" customHeight="1">
      <c r="A75" s="13" t="s">
        <v>113</v>
      </c>
      <c r="B75" s="33" t="s">
        <v>112</v>
      </c>
      <c r="C75" s="15">
        <f>0.75*2*2*51</f>
        <v>153</v>
      </c>
      <c r="D75" s="74" t="s">
        <v>114</v>
      </c>
    </row>
    <row r="76" spans="1:6" ht="24.75" customHeight="1">
      <c r="A76" s="13" t="s">
        <v>115</v>
      </c>
      <c r="B76" s="14" t="s">
        <v>67</v>
      </c>
      <c r="C76" s="15">
        <v>3</v>
      </c>
      <c r="D76" s="74" t="s">
        <v>116</v>
      </c>
      <c r="F76" s="159"/>
    </row>
    <row r="77" spans="1:4" ht="15" customHeight="1">
      <c r="A77" s="75" t="s">
        <v>117</v>
      </c>
      <c r="B77" s="75"/>
      <c r="C77" s="181"/>
      <c r="D77" s="181"/>
    </row>
    <row r="78" spans="1:4" ht="15" customHeight="1">
      <c r="A78" s="35" t="s">
        <v>118</v>
      </c>
      <c r="B78" s="36"/>
      <c r="C78" s="38"/>
      <c r="D78" s="38"/>
    </row>
    <row r="79" spans="1:4" ht="15" customHeight="1">
      <c r="A79" s="39" t="s">
        <v>446</v>
      </c>
      <c r="B79" s="40" t="s">
        <v>67</v>
      </c>
      <c r="C79" s="41">
        <v>26</v>
      </c>
      <c r="D79" s="42"/>
    </row>
    <row r="80" spans="1:4" ht="15" customHeight="1">
      <c r="A80" s="35" t="s">
        <v>235</v>
      </c>
      <c r="B80" s="36"/>
      <c r="C80" s="36"/>
      <c r="D80" s="45"/>
    </row>
    <row r="81" spans="1:4" ht="15" customHeight="1">
      <c r="A81" s="39" t="s">
        <v>514</v>
      </c>
      <c r="B81" s="40" t="s">
        <v>67</v>
      </c>
      <c r="C81" s="40">
        <v>12</v>
      </c>
      <c r="D81" s="42"/>
    </row>
    <row r="82" spans="1:4" ht="15" customHeight="1">
      <c r="A82" s="35" t="s">
        <v>467</v>
      </c>
      <c r="B82" s="36"/>
      <c r="C82" s="36"/>
      <c r="D82" s="45"/>
    </row>
    <row r="83" spans="1:4" ht="15" customHeight="1">
      <c r="A83" s="43" t="s">
        <v>128</v>
      </c>
      <c r="B83" s="46" t="s">
        <v>67</v>
      </c>
      <c r="C83" s="41">
        <v>2</v>
      </c>
      <c r="D83" s="47" t="s">
        <v>130</v>
      </c>
    </row>
    <row r="84" spans="1:4" ht="15" customHeight="1">
      <c r="A84" s="43" t="s">
        <v>468</v>
      </c>
      <c r="B84" s="40" t="s">
        <v>67</v>
      </c>
      <c r="C84" s="41">
        <v>2</v>
      </c>
      <c r="D84" s="47" t="s">
        <v>130</v>
      </c>
    </row>
    <row r="85" spans="1:4" ht="15" customHeight="1">
      <c r="A85" s="43" t="s">
        <v>131</v>
      </c>
      <c r="B85" s="40" t="s">
        <v>67</v>
      </c>
      <c r="C85" s="41">
        <f>1+1</f>
        <v>2</v>
      </c>
      <c r="D85" s="47" t="s">
        <v>130</v>
      </c>
    </row>
    <row r="86" spans="1:4" ht="15" customHeight="1">
      <c r="A86" s="43" t="s">
        <v>134</v>
      </c>
      <c r="B86" s="40" t="s">
        <v>39</v>
      </c>
      <c r="C86" s="41">
        <f>1.4+0.7+0.3</f>
        <v>2.3999999999999995</v>
      </c>
      <c r="D86" s="42"/>
    </row>
    <row r="87" spans="1:4" ht="15" customHeight="1">
      <c r="A87" s="43" t="s">
        <v>277</v>
      </c>
      <c r="B87" s="40" t="s">
        <v>67</v>
      </c>
      <c r="C87" s="41">
        <f>5</f>
        <v>5</v>
      </c>
      <c r="D87" s="42"/>
    </row>
    <row r="88" spans="1:4" ht="15" customHeight="1">
      <c r="A88" s="43" t="s">
        <v>592</v>
      </c>
      <c r="B88" s="40" t="s">
        <v>67</v>
      </c>
      <c r="C88" s="41">
        <v>2</v>
      </c>
      <c r="D88" s="42"/>
    </row>
    <row r="89" spans="1:4" ht="15" customHeight="1">
      <c r="A89" s="35" t="s">
        <v>238</v>
      </c>
      <c r="B89" s="36"/>
      <c r="C89" s="36"/>
      <c r="D89" s="45"/>
    </row>
    <row r="90" spans="1:4" ht="15" customHeight="1">
      <c r="A90" s="43" t="s">
        <v>593</v>
      </c>
      <c r="B90" s="40" t="s">
        <v>39</v>
      </c>
      <c r="C90" s="40">
        <v>0.7</v>
      </c>
      <c r="D90" s="42"/>
    </row>
    <row r="91" spans="1:4" ht="15" customHeight="1">
      <c r="A91" s="43" t="s">
        <v>475</v>
      </c>
      <c r="B91" s="40" t="s">
        <v>133</v>
      </c>
      <c r="C91" s="40">
        <v>10</v>
      </c>
      <c r="D91" s="42"/>
    </row>
    <row r="92" spans="1:4" ht="15" customHeight="1">
      <c r="A92" s="49" t="s">
        <v>141</v>
      </c>
      <c r="B92" s="36"/>
      <c r="C92" s="36"/>
      <c r="D92" s="45"/>
    </row>
    <row r="93" spans="1:4" ht="15" customHeight="1">
      <c r="A93" s="51" t="s">
        <v>192</v>
      </c>
      <c r="B93" s="41" t="s">
        <v>67</v>
      </c>
      <c r="C93" s="41">
        <f>1</f>
        <v>1</v>
      </c>
      <c r="D93" s="42"/>
    </row>
    <row r="94" spans="1:4" ht="15" customHeight="1">
      <c r="A94" s="51" t="s">
        <v>377</v>
      </c>
      <c r="B94" s="41" t="s">
        <v>67</v>
      </c>
      <c r="C94" s="41">
        <v>2</v>
      </c>
      <c r="D94" s="47" t="s">
        <v>130</v>
      </c>
    </row>
    <row r="95" spans="1:4" ht="15" customHeight="1">
      <c r="A95" s="49" t="s">
        <v>145</v>
      </c>
      <c r="B95" s="36"/>
      <c r="C95" s="36"/>
      <c r="D95" s="45"/>
    </row>
    <row r="96" spans="1:4" ht="15" customHeight="1">
      <c r="A96" s="52" t="s">
        <v>194</v>
      </c>
      <c r="B96" s="41" t="s">
        <v>133</v>
      </c>
      <c r="C96" s="40">
        <f>5.4</f>
        <v>5.4</v>
      </c>
      <c r="D96" s="42"/>
    </row>
    <row r="97" spans="1:4" ht="15" customHeight="1">
      <c r="A97" s="52" t="s">
        <v>518</v>
      </c>
      <c r="B97" s="40" t="s">
        <v>39</v>
      </c>
      <c r="C97" s="40">
        <f>10.8</f>
        <v>10.8</v>
      </c>
      <c r="D97" s="42"/>
    </row>
    <row r="98" spans="1:4" ht="15" customHeight="1">
      <c r="A98" s="52" t="s">
        <v>501</v>
      </c>
      <c r="B98" s="41" t="s">
        <v>112</v>
      </c>
      <c r="C98" s="40">
        <f>3.5+2</f>
        <v>5.5</v>
      </c>
      <c r="D98" s="42"/>
    </row>
    <row r="99" spans="1:4" s="1" customFormat="1" ht="15" customHeight="1">
      <c r="A99" s="52" t="s">
        <v>243</v>
      </c>
      <c r="B99" s="41" t="s">
        <v>39</v>
      </c>
      <c r="C99" s="41">
        <v>30</v>
      </c>
      <c r="D99" s="47" t="s">
        <v>594</v>
      </c>
    </row>
    <row r="100" spans="1:4" ht="15" customHeight="1">
      <c r="A100" s="52" t="s">
        <v>146</v>
      </c>
      <c r="B100" s="40" t="s">
        <v>67</v>
      </c>
      <c r="C100" s="40">
        <f>2</f>
        <v>2</v>
      </c>
      <c r="D100" s="42"/>
    </row>
    <row r="101" spans="1:4" ht="15" customHeight="1">
      <c r="A101" s="52" t="s">
        <v>148</v>
      </c>
      <c r="B101" s="40" t="s">
        <v>67</v>
      </c>
      <c r="C101" s="40">
        <f>1</f>
        <v>1</v>
      </c>
      <c r="D101" s="42"/>
    </row>
    <row r="102" spans="1:4" ht="15" customHeight="1">
      <c r="A102" s="52" t="s">
        <v>479</v>
      </c>
      <c r="B102" s="40" t="s">
        <v>67</v>
      </c>
      <c r="C102" s="40">
        <v>2</v>
      </c>
      <c r="D102" s="42"/>
    </row>
    <row r="103" spans="1:4" ht="15" customHeight="1">
      <c r="A103" s="52" t="s">
        <v>149</v>
      </c>
      <c r="B103" s="40" t="s">
        <v>67</v>
      </c>
      <c r="C103" s="40">
        <v>4</v>
      </c>
      <c r="D103" s="42"/>
    </row>
    <row r="104" spans="1:4" s="1" customFormat="1" ht="15" customHeight="1">
      <c r="A104" s="52" t="s">
        <v>151</v>
      </c>
      <c r="B104" s="41" t="s">
        <v>39</v>
      </c>
      <c r="C104" s="40">
        <v>2000</v>
      </c>
      <c r="D104" s="47" t="s">
        <v>130</v>
      </c>
    </row>
    <row r="105" spans="1:4" ht="15" customHeight="1">
      <c r="A105" s="52" t="s">
        <v>197</v>
      </c>
      <c r="B105" s="41" t="s">
        <v>67</v>
      </c>
      <c r="C105" s="40">
        <f>5</f>
        <v>5</v>
      </c>
      <c r="D105" s="42"/>
    </row>
    <row r="106" spans="1:4" ht="15" customHeight="1">
      <c r="A106" s="52" t="s">
        <v>152</v>
      </c>
      <c r="B106" s="41" t="s">
        <v>133</v>
      </c>
      <c r="C106" s="40"/>
      <c r="D106" s="42"/>
    </row>
    <row r="107" spans="1:4" ht="15" customHeight="1">
      <c r="A107" s="53" t="s">
        <v>153</v>
      </c>
      <c r="B107" s="41" t="s">
        <v>67</v>
      </c>
      <c r="C107" s="40">
        <f>85</f>
        <v>85</v>
      </c>
      <c r="D107" s="42"/>
    </row>
    <row r="108" spans="1:4" ht="15" customHeight="1">
      <c r="A108" s="52" t="s">
        <v>595</v>
      </c>
      <c r="B108" s="41" t="s">
        <v>67</v>
      </c>
      <c r="C108" s="40">
        <f>1</f>
        <v>1</v>
      </c>
      <c r="D108" s="42"/>
    </row>
    <row r="109" spans="1:4" ht="15" customHeight="1">
      <c r="A109" s="52" t="s">
        <v>318</v>
      </c>
      <c r="B109" s="41" t="s">
        <v>67</v>
      </c>
      <c r="C109" s="40">
        <f>2</f>
        <v>2</v>
      </c>
      <c r="D109" s="42"/>
    </row>
    <row r="110" spans="1:4" ht="15" customHeight="1">
      <c r="A110" s="52" t="s">
        <v>154</v>
      </c>
      <c r="B110" s="41" t="s">
        <v>67</v>
      </c>
      <c r="C110" s="40">
        <v>3</v>
      </c>
      <c r="D110" s="42"/>
    </row>
    <row r="111" spans="1:4" ht="15" customHeight="1">
      <c r="A111" s="49" t="s">
        <v>157</v>
      </c>
      <c r="B111" s="36"/>
      <c r="C111" s="36"/>
      <c r="D111" s="45"/>
    </row>
    <row r="112" spans="1:4" ht="15" customHeight="1">
      <c r="A112" s="51" t="s">
        <v>158</v>
      </c>
      <c r="B112" s="40" t="s">
        <v>67</v>
      </c>
      <c r="C112" s="40">
        <f>14+2</f>
        <v>16</v>
      </c>
      <c r="D112" s="42"/>
    </row>
    <row r="113" spans="1:4" s="1" customFormat="1" ht="12.75">
      <c r="A113" s="51" t="s">
        <v>202</v>
      </c>
      <c r="B113" s="41" t="s">
        <v>39</v>
      </c>
      <c r="C113" s="41">
        <v>616</v>
      </c>
      <c r="D113" s="47"/>
    </row>
    <row r="114" spans="1:4" ht="15" customHeight="1">
      <c r="A114" s="51" t="s">
        <v>546</v>
      </c>
      <c r="B114" s="40" t="s">
        <v>67</v>
      </c>
      <c r="C114" s="40">
        <v>2</v>
      </c>
      <c r="D114" s="42"/>
    </row>
    <row r="115" spans="1:4" ht="12.75">
      <c r="A115" s="49" t="s">
        <v>161</v>
      </c>
      <c r="B115" s="36"/>
      <c r="C115" s="36"/>
      <c r="D115" s="45"/>
    </row>
    <row r="116" spans="1:4" ht="12.75">
      <c r="A116" s="54" t="s">
        <v>162</v>
      </c>
      <c r="B116" s="56" t="s">
        <v>39</v>
      </c>
      <c r="C116" s="182">
        <v>962.2</v>
      </c>
      <c r="D116" s="68" t="s">
        <v>44</v>
      </c>
    </row>
    <row r="117" spans="1:4" ht="12.75">
      <c r="A117" s="54" t="s">
        <v>163</v>
      </c>
      <c r="B117" s="56" t="s">
        <v>39</v>
      </c>
      <c r="C117" s="182">
        <v>962.2</v>
      </c>
      <c r="D117" s="89" t="s">
        <v>164</v>
      </c>
    </row>
    <row r="118" spans="1:4" ht="12.75">
      <c r="A118" s="49" t="s">
        <v>165</v>
      </c>
      <c r="B118" s="38"/>
      <c r="C118" s="61"/>
      <c r="D118" s="62"/>
    </row>
    <row r="119" spans="1:4" ht="12.75">
      <c r="A119" s="54" t="s">
        <v>162</v>
      </c>
      <c r="B119" s="56" t="s">
        <v>39</v>
      </c>
      <c r="C119" s="182">
        <f>962.2+53.76</f>
        <v>1015.96</v>
      </c>
      <c r="D119" s="68" t="s">
        <v>44</v>
      </c>
    </row>
    <row r="120" spans="1:4" ht="12.75">
      <c r="A120" s="54" t="s">
        <v>163</v>
      </c>
      <c r="B120" s="56" t="s">
        <v>39</v>
      </c>
      <c r="C120" s="182">
        <f>962.2+53.76</f>
        <v>1015.96</v>
      </c>
      <c r="D120" s="89" t="s">
        <v>164</v>
      </c>
    </row>
    <row r="121" spans="1:4" ht="12.75">
      <c r="A121" s="49" t="s">
        <v>166</v>
      </c>
      <c r="B121" s="38"/>
      <c r="C121" s="61"/>
      <c r="D121" s="62"/>
    </row>
    <row r="122" spans="1:4" ht="12.75">
      <c r="A122" s="54" t="s">
        <v>162</v>
      </c>
      <c r="B122" s="56" t="s">
        <v>39</v>
      </c>
      <c r="C122" s="182">
        <f>962.2+151+371.3</f>
        <v>1484.5</v>
      </c>
      <c r="D122" s="68" t="s">
        <v>175</v>
      </c>
    </row>
    <row r="123" spans="1:4" ht="12.75">
      <c r="A123" s="54" t="s">
        <v>163</v>
      </c>
      <c r="B123" s="56" t="s">
        <v>39</v>
      </c>
      <c r="C123" s="182">
        <f>962.2+151+371.3</f>
        <v>1484.5</v>
      </c>
      <c r="D123" s="89" t="s">
        <v>164</v>
      </c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49:C49"/>
    <mergeCell ref="A50:C50"/>
    <mergeCell ref="A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2:B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A73:B73"/>
    <mergeCell ref="A77:B77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4"/>
  </sheetPr>
  <dimension ref="A1:F133"/>
  <sheetViews>
    <sheetView workbookViewId="0" topLeftCell="A112">
      <selection activeCell="A136" sqref="A136"/>
    </sheetView>
  </sheetViews>
  <sheetFormatPr defaultColWidth="9.00390625" defaultRowHeight="12.75"/>
  <cols>
    <col min="1" max="1" width="49.125" style="0" customWidth="1"/>
    <col min="2" max="2" width="9.25390625" style="0" customWidth="1"/>
    <col min="3" max="3" width="14.625" style="0" customWidth="1"/>
    <col min="4" max="4" width="21.625" style="0" customWidth="1"/>
    <col min="6" max="6" width="1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596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597</v>
      </c>
    </row>
    <row r="8" spans="1:3" ht="12.75">
      <c r="A8" t="s">
        <v>7</v>
      </c>
      <c r="C8" s="4" t="s">
        <v>598</v>
      </c>
    </row>
    <row r="9" spans="1:3" ht="12.75">
      <c r="A9" t="s">
        <v>9</v>
      </c>
      <c r="C9" s="7" t="s">
        <v>599</v>
      </c>
    </row>
    <row r="10" ht="12.75">
      <c r="C10" s="7"/>
    </row>
    <row r="11" spans="1:3" ht="12.75">
      <c r="A11" t="s">
        <v>11</v>
      </c>
      <c r="C11" s="7" t="s">
        <v>600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71">
        <v>0.8962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579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579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2469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10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29.2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15">
        <v>579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867.9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/>
      <c r="D36" s="16" t="s">
        <v>233</v>
      </c>
    </row>
    <row r="37" spans="1:4" ht="16.5" customHeight="1">
      <c r="A37" s="13" t="s">
        <v>56</v>
      </c>
      <c r="B37" s="17" t="s">
        <v>39</v>
      </c>
      <c r="C37" s="15"/>
      <c r="D37" s="16" t="s">
        <v>233</v>
      </c>
    </row>
    <row r="38" spans="1:4" ht="12.75">
      <c r="A38" s="13" t="s">
        <v>59</v>
      </c>
      <c r="B38" s="17" t="s">
        <v>39</v>
      </c>
      <c r="C38" s="15"/>
      <c r="D38" s="16" t="s">
        <v>233</v>
      </c>
    </row>
    <row r="39" spans="1:4" ht="14.25" customHeight="1">
      <c r="A39" s="13" t="s">
        <v>61</v>
      </c>
      <c r="B39" s="17" t="s">
        <v>39</v>
      </c>
      <c r="C39" s="15">
        <v>1937</v>
      </c>
      <c r="D39" s="16" t="s">
        <v>46</v>
      </c>
    </row>
    <row r="40" spans="1:4" ht="27" customHeight="1">
      <c r="A40" s="13" t="s">
        <v>62</v>
      </c>
      <c r="B40" s="17" t="s">
        <v>39</v>
      </c>
      <c r="C40" s="73">
        <v>579</v>
      </c>
      <c r="D40" s="16" t="s">
        <v>53</v>
      </c>
    </row>
    <row r="41" spans="1:4" ht="15" customHeight="1">
      <c r="A41" s="13" t="s">
        <v>63</v>
      </c>
      <c r="B41" s="17" t="s">
        <v>39</v>
      </c>
      <c r="C41" s="15"/>
      <c r="D41" s="16" t="s">
        <v>233</v>
      </c>
    </row>
    <row r="42" spans="1:4" ht="15" customHeight="1">
      <c r="A42" s="13" t="s">
        <v>64</v>
      </c>
      <c r="B42" s="17" t="s">
        <v>39</v>
      </c>
      <c r="C42" s="15">
        <v>55.52</v>
      </c>
      <c r="D42" s="16" t="s">
        <v>44</v>
      </c>
    </row>
    <row r="43" spans="1:4" ht="31.5" customHeight="1">
      <c r="A43" s="13" t="s">
        <v>65</v>
      </c>
      <c r="B43" s="17" t="s">
        <v>39</v>
      </c>
      <c r="C43" s="15">
        <v>24</v>
      </c>
      <c r="D43" s="16" t="s">
        <v>53</v>
      </c>
    </row>
    <row r="44" spans="1:4" ht="15.75" customHeight="1">
      <c r="A44" s="13" t="s">
        <v>66</v>
      </c>
      <c r="B44" s="17" t="s">
        <v>67</v>
      </c>
      <c r="C44" s="15">
        <v>2</v>
      </c>
      <c r="D44" s="16" t="s">
        <v>60</v>
      </c>
    </row>
    <row r="45" spans="1:4" ht="33" customHeight="1">
      <c r="A45" s="13" t="s">
        <v>68</v>
      </c>
      <c r="B45" s="17" t="s">
        <v>67</v>
      </c>
      <c r="C45" s="15">
        <v>2</v>
      </c>
      <c r="D45" s="16" t="s">
        <v>69</v>
      </c>
    </row>
    <row r="46" spans="1:4" ht="17.25" customHeight="1">
      <c r="A46" s="13" t="s">
        <v>70</v>
      </c>
      <c r="B46" s="17" t="s">
        <v>39</v>
      </c>
      <c r="C46" s="15">
        <v>10</v>
      </c>
      <c r="D46" s="16" t="s">
        <v>71</v>
      </c>
    </row>
    <row r="47" spans="1:4" ht="26.25" customHeight="1">
      <c r="A47" s="13" t="s">
        <v>72</v>
      </c>
      <c r="B47" s="17" t="s">
        <v>39</v>
      </c>
      <c r="C47" s="15">
        <f>1*1.88*8*2</f>
        <v>30.08</v>
      </c>
      <c r="D47" s="16" t="s">
        <v>53</v>
      </c>
    </row>
    <row r="48" spans="1:4" ht="17.25" customHeight="1">
      <c r="A48" s="13" t="s">
        <v>73</v>
      </c>
      <c r="B48" s="17" t="s">
        <v>67</v>
      </c>
      <c r="C48" s="15">
        <v>2</v>
      </c>
      <c r="D48" s="16" t="s">
        <v>44</v>
      </c>
    </row>
    <row r="49" spans="1:4" ht="16.5" customHeight="1">
      <c r="A49" s="13" t="s">
        <v>74</v>
      </c>
      <c r="B49" s="17" t="s">
        <v>39</v>
      </c>
      <c r="C49" s="15">
        <v>968.5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31.5" customHeight="1">
      <c r="A55" s="13" t="s">
        <v>82</v>
      </c>
      <c r="B55" s="24" t="s">
        <v>79</v>
      </c>
      <c r="C55" s="24"/>
      <c r="D55" s="13" t="s">
        <v>83</v>
      </c>
    </row>
    <row r="56" spans="1:4" ht="30.75" customHeight="1">
      <c r="A56" s="13" t="s">
        <v>84</v>
      </c>
      <c r="B56" s="24" t="s">
        <v>79</v>
      </c>
      <c r="C56" s="24"/>
      <c r="D56" s="13" t="s">
        <v>83</v>
      </c>
    </row>
    <row r="57" spans="1:4" ht="30.75" customHeight="1">
      <c r="A57" s="13" t="s">
        <v>85</v>
      </c>
      <c r="B57" s="24" t="s">
        <v>79</v>
      </c>
      <c r="C57" s="24"/>
      <c r="D57" s="13" t="s">
        <v>86</v>
      </c>
    </row>
    <row r="58" spans="1:4" ht="25.5" customHeight="1">
      <c r="A58" s="13" t="s">
        <v>87</v>
      </c>
      <c r="B58" s="24" t="s">
        <v>79</v>
      </c>
      <c r="C58" s="24"/>
      <c r="D58" s="13" t="s">
        <v>88</v>
      </c>
    </row>
    <row r="59" spans="1:4" ht="28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8.5" customHeight="1">
      <c r="A61" s="13" t="s">
        <v>91</v>
      </c>
      <c r="B61" s="24" t="s">
        <v>79</v>
      </c>
      <c r="C61" s="24"/>
      <c r="D61" s="13" t="s">
        <v>92</v>
      </c>
    </row>
    <row r="62" spans="1:4" ht="25.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4.75" customHeight="1">
      <c r="A64" s="13" t="s">
        <v>96</v>
      </c>
      <c r="B64" s="24" t="s">
        <v>79</v>
      </c>
      <c r="C64" s="24"/>
      <c r="D64" s="13" t="s">
        <v>88</v>
      </c>
    </row>
    <row r="65" spans="1:4" ht="30.75" customHeight="1">
      <c r="A65" s="13" t="s">
        <v>97</v>
      </c>
      <c r="B65" s="24" t="s">
        <v>79</v>
      </c>
      <c r="C65" s="24"/>
      <c r="D65" s="13" t="s">
        <v>98</v>
      </c>
    </row>
    <row r="66" spans="1:4" ht="27.75" customHeight="1">
      <c r="A66" s="13" t="s">
        <v>99</v>
      </c>
      <c r="B66" s="24" t="s">
        <v>79</v>
      </c>
      <c r="C66" s="24"/>
      <c r="D66" s="13" t="s">
        <v>100</v>
      </c>
    </row>
    <row r="67" spans="1:4" ht="27.75" customHeight="1">
      <c r="A67" s="13" t="s">
        <v>101</v>
      </c>
      <c r="B67" s="24" t="s">
        <v>79</v>
      </c>
      <c r="C67" s="24"/>
      <c r="D67" s="13" t="s">
        <v>88</v>
      </c>
    </row>
    <row r="68" spans="1:4" ht="27" customHeight="1">
      <c r="A68" s="13" t="s">
        <v>102</v>
      </c>
      <c r="B68" s="24" t="s">
        <v>79</v>
      </c>
      <c r="C68" s="24"/>
      <c r="D68" s="13" t="s">
        <v>60</v>
      </c>
    </row>
    <row r="69" spans="1:4" ht="27.75" customHeight="1">
      <c r="A69" s="13" t="s">
        <v>103</v>
      </c>
      <c r="B69" s="24" t="s">
        <v>79</v>
      </c>
      <c r="C69" s="24"/>
      <c r="D69" s="13" t="s">
        <v>104</v>
      </c>
    </row>
    <row r="70" spans="1:4" ht="27.7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6.25" customHeight="1">
      <c r="A72" s="13" t="s">
        <v>89</v>
      </c>
      <c r="B72" s="24" t="s">
        <v>79</v>
      </c>
      <c r="C72" s="24"/>
      <c r="D72" s="13" t="s">
        <v>40</v>
      </c>
    </row>
    <row r="73" spans="1:4" ht="27.75" customHeight="1">
      <c r="A73" s="13" t="s">
        <v>109</v>
      </c>
      <c r="B73" s="24" t="s">
        <v>79</v>
      </c>
      <c r="C73" s="24"/>
      <c r="D73" s="13" t="s">
        <v>108</v>
      </c>
    </row>
    <row r="74" spans="1:4" ht="18.75" customHeight="1">
      <c r="A74" s="28" t="s">
        <v>110</v>
      </c>
      <c r="B74" s="28"/>
      <c r="C74" s="31"/>
      <c r="D74" s="30"/>
    </row>
    <row r="75" spans="1:5" ht="27.75" customHeight="1">
      <c r="A75" s="13" t="s">
        <v>111</v>
      </c>
      <c r="B75" s="14" t="s">
        <v>112</v>
      </c>
      <c r="C75" s="15">
        <f>168*1.15*12</f>
        <v>2318.3999999999996</v>
      </c>
      <c r="D75" s="74" t="s">
        <v>69</v>
      </c>
      <c r="E75" s="8"/>
    </row>
    <row r="76" spans="1:4" ht="21.75" customHeight="1">
      <c r="A76" s="13" t="s">
        <v>113</v>
      </c>
      <c r="B76" s="33" t="s">
        <v>112</v>
      </c>
      <c r="C76" s="15">
        <f>0.75*2*2*51</f>
        <v>153</v>
      </c>
      <c r="D76" s="74" t="s">
        <v>114</v>
      </c>
    </row>
    <row r="77" spans="1:6" ht="24.75" customHeight="1">
      <c r="A77" s="13" t="s">
        <v>115</v>
      </c>
      <c r="B77" s="14" t="s">
        <v>67</v>
      </c>
      <c r="C77" s="15">
        <v>2</v>
      </c>
      <c r="D77" s="74" t="s">
        <v>116</v>
      </c>
      <c r="F77" s="159"/>
    </row>
    <row r="78" spans="1:4" ht="13.5" customHeight="1">
      <c r="A78" s="75" t="s">
        <v>117</v>
      </c>
      <c r="B78" s="75"/>
      <c r="C78" s="181"/>
      <c r="D78" s="19"/>
    </row>
    <row r="79" spans="1:4" ht="13.5" customHeight="1">
      <c r="A79" s="35" t="s">
        <v>118</v>
      </c>
      <c r="B79" s="36"/>
      <c r="C79" s="38"/>
      <c r="D79" s="38"/>
    </row>
    <row r="80" spans="1:4" ht="13.5" customHeight="1">
      <c r="A80" s="39" t="s">
        <v>119</v>
      </c>
      <c r="B80" s="40" t="s">
        <v>39</v>
      </c>
      <c r="C80" s="41">
        <f>0.8+0.4+3.4</f>
        <v>4.6</v>
      </c>
      <c r="D80" s="42"/>
    </row>
    <row r="81" spans="1:4" ht="13.5" customHeight="1">
      <c r="A81" s="39" t="s">
        <v>343</v>
      </c>
      <c r="B81" s="40" t="s">
        <v>67</v>
      </c>
      <c r="C81" s="41">
        <v>12</v>
      </c>
      <c r="D81" s="42"/>
    </row>
    <row r="82" spans="1:4" ht="13.5" customHeight="1">
      <c r="A82" s="39" t="s">
        <v>493</v>
      </c>
      <c r="B82" s="40" t="s">
        <v>67</v>
      </c>
      <c r="C82" s="40">
        <v>5</v>
      </c>
      <c r="D82" s="42"/>
    </row>
    <row r="83" spans="1:4" ht="13.5" customHeight="1">
      <c r="A83" s="35" t="s">
        <v>235</v>
      </c>
      <c r="B83" s="36"/>
      <c r="C83" s="36"/>
      <c r="D83" s="45"/>
    </row>
    <row r="84" spans="1:4" ht="13.5" customHeight="1">
      <c r="A84" s="39" t="s">
        <v>300</v>
      </c>
      <c r="B84" s="40" t="s">
        <v>67</v>
      </c>
      <c r="C84" s="41">
        <f>1+10</f>
        <v>11</v>
      </c>
      <c r="D84" s="42"/>
    </row>
    <row r="85" spans="1:4" ht="13.5" customHeight="1">
      <c r="A85" s="88" t="s">
        <v>386</v>
      </c>
      <c r="B85" s="40" t="s">
        <v>39</v>
      </c>
      <c r="C85" s="41">
        <f>1.1</f>
        <v>1.1</v>
      </c>
      <c r="D85" s="42"/>
    </row>
    <row r="86" spans="1:4" ht="13.5" customHeight="1">
      <c r="A86" s="88" t="s">
        <v>601</v>
      </c>
      <c r="B86" s="40" t="s">
        <v>39</v>
      </c>
      <c r="C86" s="41">
        <f>1.8+1.8+2.2+2.8+10</f>
        <v>18.6</v>
      </c>
      <c r="D86" s="42"/>
    </row>
    <row r="87" spans="1:4" ht="13.5" customHeight="1">
      <c r="A87" s="43" t="s">
        <v>602</v>
      </c>
      <c r="B87" s="41" t="s">
        <v>122</v>
      </c>
      <c r="C87" s="40">
        <v>2</v>
      </c>
      <c r="D87" s="42"/>
    </row>
    <row r="88" spans="1:4" ht="13.5" customHeight="1">
      <c r="A88" s="43" t="s">
        <v>530</v>
      </c>
      <c r="B88" s="41" t="s">
        <v>67</v>
      </c>
      <c r="C88" s="40">
        <f>1</f>
        <v>1</v>
      </c>
      <c r="D88" s="42"/>
    </row>
    <row r="89" spans="1:4" ht="13.5" customHeight="1">
      <c r="A89" s="35" t="s">
        <v>467</v>
      </c>
      <c r="B89" s="36"/>
      <c r="C89" s="36"/>
      <c r="D89" s="45"/>
    </row>
    <row r="90" spans="1:4" ht="13.5" customHeight="1">
      <c r="A90" s="43" t="s">
        <v>128</v>
      </c>
      <c r="B90" s="46" t="s">
        <v>67</v>
      </c>
      <c r="C90" s="41">
        <v>2</v>
      </c>
      <c r="D90" s="42"/>
    </row>
    <row r="91" spans="1:4" ht="13.5" customHeight="1">
      <c r="A91" s="43" t="s">
        <v>468</v>
      </c>
      <c r="B91" s="40" t="s">
        <v>67</v>
      </c>
      <c r="C91" s="41">
        <f>2</f>
        <v>2</v>
      </c>
      <c r="D91" s="42"/>
    </row>
    <row r="92" spans="1:4" ht="13.5" customHeight="1">
      <c r="A92" s="43" t="s">
        <v>131</v>
      </c>
      <c r="B92" s="40" t="s">
        <v>67</v>
      </c>
      <c r="C92" s="41">
        <f>1+1</f>
        <v>2</v>
      </c>
      <c r="D92" s="42"/>
    </row>
    <row r="93" spans="1:4" ht="13.5" customHeight="1">
      <c r="A93" s="43" t="s">
        <v>495</v>
      </c>
      <c r="B93" s="40" t="s">
        <v>67</v>
      </c>
      <c r="C93" s="41">
        <v>1</v>
      </c>
      <c r="D93" s="42"/>
    </row>
    <row r="94" spans="1:4" ht="13.5" customHeight="1">
      <c r="A94" s="43" t="s">
        <v>190</v>
      </c>
      <c r="B94" s="40" t="s">
        <v>67</v>
      </c>
      <c r="C94" s="41">
        <v>1</v>
      </c>
      <c r="D94" s="42"/>
    </row>
    <row r="95" spans="1:4" ht="13.5" customHeight="1">
      <c r="A95" s="43" t="s">
        <v>134</v>
      </c>
      <c r="B95" s="40" t="s">
        <v>39</v>
      </c>
      <c r="C95" s="41">
        <f>0.6+1.8+0.7+0.5</f>
        <v>3.5999999999999996</v>
      </c>
      <c r="D95" s="42"/>
    </row>
    <row r="96" spans="1:4" ht="13.5" customHeight="1">
      <c r="A96" s="43" t="s">
        <v>277</v>
      </c>
      <c r="B96" s="40" t="s">
        <v>67</v>
      </c>
      <c r="C96" s="41">
        <f>4+12+6+8+10</f>
        <v>40</v>
      </c>
      <c r="D96" s="42"/>
    </row>
    <row r="97" spans="1:4" ht="13.5" customHeight="1">
      <c r="A97" s="88" t="s">
        <v>268</v>
      </c>
      <c r="B97" s="40" t="s">
        <v>67</v>
      </c>
      <c r="C97" s="40">
        <v>2</v>
      </c>
      <c r="D97" s="42"/>
    </row>
    <row r="98" spans="1:4" ht="13.5" customHeight="1">
      <c r="A98" s="35" t="s">
        <v>238</v>
      </c>
      <c r="B98" s="36"/>
      <c r="C98" s="36"/>
      <c r="D98" s="45"/>
    </row>
    <row r="99" spans="1:4" ht="13.5" customHeight="1">
      <c r="A99" s="43" t="s">
        <v>475</v>
      </c>
      <c r="B99" s="40" t="s">
        <v>133</v>
      </c>
      <c r="C99" s="40">
        <f>15.3+24.9+8</f>
        <v>48.2</v>
      </c>
      <c r="D99" s="42"/>
    </row>
    <row r="100" spans="1:4" ht="13.5" customHeight="1">
      <c r="A100" s="35" t="s">
        <v>137</v>
      </c>
      <c r="B100" s="48"/>
      <c r="C100" s="36"/>
      <c r="D100" s="45"/>
    </row>
    <row r="101" spans="1:4" ht="13.5" customHeight="1">
      <c r="A101" s="88" t="s">
        <v>545</v>
      </c>
      <c r="B101" s="40" t="s">
        <v>67</v>
      </c>
      <c r="C101" s="40">
        <v>2</v>
      </c>
      <c r="D101" s="42"/>
    </row>
    <row r="102" spans="1:4" ht="13.5" customHeight="1">
      <c r="A102" s="39" t="s">
        <v>125</v>
      </c>
      <c r="B102" s="40" t="s">
        <v>67</v>
      </c>
      <c r="C102" s="40">
        <v>1</v>
      </c>
      <c r="D102" s="42"/>
    </row>
    <row r="103" spans="1:4" ht="13.5" customHeight="1">
      <c r="A103" s="39" t="s">
        <v>476</v>
      </c>
      <c r="B103" s="40" t="s">
        <v>122</v>
      </c>
      <c r="C103" s="40">
        <v>2</v>
      </c>
      <c r="D103" s="42"/>
    </row>
    <row r="104" spans="1:4" ht="13.5" customHeight="1">
      <c r="A104" s="49" t="s">
        <v>141</v>
      </c>
      <c r="B104" s="36"/>
      <c r="C104" s="36"/>
      <c r="D104" s="45"/>
    </row>
    <row r="105" spans="1:4" ht="13.5" customHeight="1">
      <c r="A105" s="52" t="s">
        <v>256</v>
      </c>
      <c r="B105" s="40" t="s">
        <v>133</v>
      </c>
      <c r="C105" s="40">
        <v>8</v>
      </c>
      <c r="D105" s="42"/>
    </row>
    <row r="106" spans="1:4" ht="13.5" customHeight="1">
      <c r="A106" s="51" t="s">
        <v>192</v>
      </c>
      <c r="B106" s="41" t="s">
        <v>67</v>
      </c>
      <c r="C106" s="40">
        <f>1</f>
        <v>1</v>
      </c>
      <c r="D106" s="42"/>
    </row>
    <row r="107" spans="1:4" ht="13.5" customHeight="1">
      <c r="A107" s="51" t="s">
        <v>143</v>
      </c>
      <c r="B107" s="40" t="s">
        <v>67</v>
      </c>
      <c r="C107" s="46">
        <f>7</f>
        <v>7</v>
      </c>
      <c r="D107" s="42"/>
    </row>
    <row r="108" spans="1:4" ht="13.5" customHeight="1">
      <c r="A108" s="51" t="s">
        <v>301</v>
      </c>
      <c r="B108" s="40" t="s">
        <v>133</v>
      </c>
      <c r="C108" s="46">
        <v>9.4</v>
      </c>
      <c r="D108" s="42"/>
    </row>
    <row r="109" spans="1:4" ht="13.5" customHeight="1">
      <c r="A109" s="49" t="s">
        <v>145</v>
      </c>
      <c r="B109" s="36"/>
      <c r="C109" s="36"/>
      <c r="D109" s="45"/>
    </row>
    <row r="110" spans="1:4" ht="13.5" customHeight="1">
      <c r="A110" s="51" t="s">
        <v>221</v>
      </c>
      <c r="B110" s="41" t="s">
        <v>39</v>
      </c>
      <c r="C110" s="40">
        <f>6</f>
        <v>6</v>
      </c>
      <c r="D110" s="42"/>
    </row>
    <row r="111" spans="1:4" ht="13.5" customHeight="1">
      <c r="A111" s="52" t="s">
        <v>194</v>
      </c>
      <c r="B111" s="41" t="s">
        <v>133</v>
      </c>
      <c r="C111" s="40">
        <f>2</f>
        <v>2</v>
      </c>
      <c r="D111" s="42"/>
    </row>
    <row r="112" spans="1:4" ht="13.5" customHeight="1">
      <c r="A112" s="52" t="s">
        <v>195</v>
      </c>
      <c r="B112" s="41" t="s">
        <v>112</v>
      </c>
      <c r="C112" s="40">
        <v>0.5</v>
      </c>
      <c r="D112" s="42"/>
    </row>
    <row r="113" spans="1:4" ht="13.5" customHeight="1">
      <c r="A113" s="52" t="s">
        <v>479</v>
      </c>
      <c r="B113" s="40" t="s">
        <v>67</v>
      </c>
      <c r="C113" s="40">
        <v>1</v>
      </c>
      <c r="D113" s="42"/>
    </row>
    <row r="114" spans="1:4" ht="13.5" customHeight="1">
      <c r="A114" s="52" t="s">
        <v>149</v>
      </c>
      <c r="B114" s="40" t="s">
        <v>67</v>
      </c>
      <c r="C114" s="40">
        <v>2</v>
      </c>
      <c r="D114" s="42"/>
    </row>
    <row r="115" spans="1:4" ht="13.5" customHeight="1">
      <c r="A115" s="52" t="s">
        <v>196</v>
      </c>
      <c r="B115" s="41" t="s">
        <v>67</v>
      </c>
      <c r="C115" s="40">
        <v>8</v>
      </c>
      <c r="D115" s="42"/>
    </row>
    <row r="116" spans="1:4" s="1" customFormat="1" ht="13.5" customHeight="1">
      <c r="A116" s="80" t="s">
        <v>151</v>
      </c>
      <c r="B116" s="41" t="s">
        <v>39</v>
      </c>
      <c r="C116" s="41">
        <v>1095</v>
      </c>
      <c r="D116" s="68" t="s">
        <v>130</v>
      </c>
    </row>
    <row r="117" spans="1:4" ht="13.5" customHeight="1">
      <c r="A117" s="52" t="s">
        <v>197</v>
      </c>
      <c r="B117" s="41" t="s">
        <v>67</v>
      </c>
      <c r="C117" s="40">
        <f>3</f>
        <v>3</v>
      </c>
      <c r="D117" s="42"/>
    </row>
    <row r="118" spans="1:4" ht="13.5" customHeight="1">
      <c r="A118" s="52" t="s">
        <v>152</v>
      </c>
      <c r="B118" s="41" t="s">
        <v>133</v>
      </c>
      <c r="C118" s="40"/>
      <c r="D118" s="42"/>
    </row>
    <row r="119" spans="1:4" ht="13.5" customHeight="1">
      <c r="A119" s="53" t="s">
        <v>153</v>
      </c>
      <c r="B119" s="41" t="s">
        <v>67</v>
      </c>
      <c r="C119" s="40">
        <f>36</f>
        <v>36</v>
      </c>
      <c r="D119" s="42"/>
    </row>
    <row r="120" spans="1:4" ht="13.5" customHeight="1">
      <c r="A120" s="52" t="s">
        <v>154</v>
      </c>
      <c r="B120" s="41" t="s">
        <v>67</v>
      </c>
      <c r="C120" s="40">
        <v>2</v>
      </c>
      <c r="D120" s="42"/>
    </row>
    <row r="121" spans="1:4" ht="13.5" customHeight="1">
      <c r="A121" s="49" t="s">
        <v>157</v>
      </c>
      <c r="B121" s="36"/>
      <c r="C121" s="36"/>
      <c r="D121" s="45"/>
    </row>
    <row r="122" spans="1:4" ht="13.5" customHeight="1">
      <c r="A122" s="51" t="s">
        <v>158</v>
      </c>
      <c r="B122" s="40" t="s">
        <v>67</v>
      </c>
      <c r="C122" s="41">
        <v>6</v>
      </c>
      <c r="D122" s="47" t="s">
        <v>186</v>
      </c>
    </row>
    <row r="123" spans="1:4" s="1" customFormat="1" ht="12.75">
      <c r="A123" s="51" t="s">
        <v>202</v>
      </c>
      <c r="B123" s="41" t="s">
        <v>39</v>
      </c>
      <c r="C123" s="41">
        <v>90</v>
      </c>
      <c r="D123" s="81"/>
    </row>
    <row r="124" spans="1:4" ht="13.5" customHeight="1">
      <c r="A124" s="51" t="s">
        <v>247</v>
      </c>
      <c r="B124" s="40" t="s">
        <v>67</v>
      </c>
      <c r="C124" s="40">
        <v>2</v>
      </c>
      <c r="D124" s="42"/>
    </row>
    <row r="125" spans="1:4" ht="12.75">
      <c r="A125" s="49" t="s">
        <v>161</v>
      </c>
      <c r="B125" s="36"/>
      <c r="C125" s="36"/>
      <c r="D125" s="45"/>
    </row>
    <row r="126" spans="1:4" ht="12.75">
      <c r="A126" s="54" t="s">
        <v>162</v>
      </c>
      <c r="B126" s="55" t="s">
        <v>39</v>
      </c>
      <c r="C126" s="182">
        <v>968.5</v>
      </c>
      <c r="D126" s="68" t="s">
        <v>44</v>
      </c>
    </row>
    <row r="127" spans="1:4" ht="12.75">
      <c r="A127" s="54" t="s">
        <v>163</v>
      </c>
      <c r="B127" s="55" t="s">
        <v>39</v>
      </c>
      <c r="C127" s="182">
        <v>968.5</v>
      </c>
      <c r="D127" s="89" t="s">
        <v>164</v>
      </c>
    </row>
    <row r="128" spans="1:4" ht="12.75">
      <c r="A128" s="49" t="s">
        <v>165</v>
      </c>
      <c r="B128" s="38"/>
      <c r="C128" s="61"/>
      <c r="D128" s="62"/>
    </row>
    <row r="129" spans="1:4" ht="12.75">
      <c r="A129" s="54" t="s">
        <v>162</v>
      </c>
      <c r="B129" s="55" t="s">
        <v>39</v>
      </c>
      <c r="C129" s="182">
        <f>968.5+53.76</f>
        <v>1022.26</v>
      </c>
      <c r="D129" s="68" t="s">
        <v>44</v>
      </c>
    </row>
    <row r="130" spans="1:4" ht="12.75">
      <c r="A130" s="54" t="s">
        <v>163</v>
      </c>
      <c r="B130" s="55" t="s">
        <v>39</v>
      </c>
      <c r="C130" s="182">
        <f>968.5+53.76</f>
        <v>1022.26</v>
      </c>
      <c r="D130" s="89" t="s">
        <v>164</v>
      </c>
    </row>
    <row r="131" spans="1:4" ht="12.75">
      <c r="A131" s="49" t="s">
        <v>166</v>
      </c>
      <c r="B131" s="38"/>
      <c r="C131" s="61"/>
      <c r="D131" s="62"/>
    </row>
    <row r="132" spans="1:4" ht="12.75">
      <c r="A132" s="54" t="s">
        <v>162</v>
      </c>
      <c r="B132" s="55" t="s">
        <v>39</v>
      </c>
      <c r="C132" s="182">
        <f>968.5+155.8+317.9</f>
        <v>1442.1999999999998</v>
      </c>
      <c r="D132" s="68" t="s">
        <v>175</v>
      </c>
    </row>
    <row r="133" spans="1:4" ht="12.75">
      <c r="A133" s="54" t="s">
        <v>163</v>
      </c>
      <c r="B133" s="55" t="s">
        <v>39</v>
      </c>
      <c r="C133" s="182">
        <f>968.5+155.8+317.9</f>
        <v>1442.1999999999998</v>
      </c>
      <c r="D133" s="89" t="s">
        <v>164</v>
      </c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4"/>
  </sheetPr>
  <dimension ref="A1:F126"/>
  <sheetViews>
    <sheetView workbookViewId="0" topLeftCell="A91">
      <selection activeCell="A129" sqref="A129"/>
    </sheetView>
  </sheetViews>
  <sheetFormatPr defaultColWidth="9.00390625" defaultRowHeight="12.75"/>
  <cols>
    <col min="1" max="1" width="49.125" style="0" customWidth="1"/>
    <col min="2" max="2" width="9.625" style="0" customWidth="1"/>
    <col min="3" max="3" width="14.875" style="0" customWidth="1"/>
    <col min="4" max="4" width="20.875" style="0" customWidth="1"/>
    <col min="6" max="6" width="11.37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603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604</v>
      </c>
    </row>
    <row r="8" spans="1:3" ht="12.75">
      <c r="A8" t="s">
        <v>7</v>
      </c>
      <c r="C8" s="4" t="s">
        <v>605</v>
      </c>
    </row>
    <row r="9" spans="1:3" ht="12.75">
      <c r="A9" t="s">
        <v>9</v>
      </c>
      <c r="C9" s="7"/>
    </row>
    <row r="10" ht="12.75">
      <c r="C10" s="7"/>
    </row>
    <row r="11" spans="1:3" ht="12.75">
      <c r="A11" t="s">
        <v>11</v>
      </c>
      <c r="C11" s="7" t="s">
        <v>606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71">
        <v>0.8757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4" ht="12.75">
      <c r="A27" s="11" t="s">
        <v>34</v>
      </c>
      <c r="B27" s="11" t="s">
        <v>35</v>
      </c>
      <c r="C27" s="11" t="s">
        <v>36</v>
      </c>
      <c r="D27" s="12" t="s">
        <v>37</v>
      </c>
    </row>
    <row r="28" spans="1:4" ht="38.25" customHeight="1">
      <c r="A28" s="13" t="s">
        <v>38</v>
      </c>
      <c r="B28" s="14" t="s">
        <v>39</v>
      </c>
      <c r="C28" s="15">
        <v>579.8</v>
      </c>
      <c r="D28" s="16" t="s">
        <v>40</v>
      </c>
    </row>
    <row r="29" spans="1:4" ht="15" customHeight="1">
      <c r="A29" s="13" t="s">
        <v>41</v>
      </c>
      <c r="B29" s="14" t="s">
        <v>39</v>
      </c>
      <c r="C29" s="15">
        <v>579.8</v>
      </c>
      <c r="D29" s="16" t="s">
        <v>42</v>
      </c>
    </row>
    <row r="30" spans="1:4" ht="12.75">
      <c r="A30" s="13" t="s">
        <v>43</v>
      </c>
      <c r="B30" s="14" t="s">
        <v>39</v>
      </c>
      <c r="C30" s="15">
        <v>2472</v>
      </c>
      <c r="D30" s="16" t="s">
        <v>44</v>
      </c>
    </row>
    <row r="31" spans="1:4" ht="15" customHeight="1">
      <c r="A31" s="13" t="s">
        <v>45</v>
      </c>
      <c r="B31" s="14" t="s">
        <v>39</v>
      </c>
      <c r="C31" s="15">
        <v>10</v>
      </c>
      <c r="D31" s="16" t="s">
        <v>46</v>
      </c>
    </row>
    <row r="32" spans="1:4" ht="25.5" customHeight="1">
      <c r="A32" s="13" t="s">
        <v>47</v>
      </c>
      <c r="B32" s="17" t="s">
        <v>39</v>
      </c>
      <c r="C32" s="15">
        <v>29.2</v>
      </c>
      <c r="D32" s="16" t="s">
        <v>48</v>
      </c>
    </row>
    <row r="33" spans="1:4" ht="27" customHeight="1">
      <c r="A33" s="13" t="s">
        <v>49</v>
      </c>
      <c r="B33" s="17" t="s">
        <v>50</v>
      </c>
      <c r="C33" s="15">
        <v>580</v>
      </c>
      <c r="D33" s="16" t="s">
        <v>51</v>
      </c>
    </row>
    <row r="34" spans="1:4" ht="26.25" customHeight="1">
      <c r="A34" s="13" t="s">
        <v>52</v>
      </c>
      <c r="B34" s="17" t="s">
        <v>39</v>
      </c>
      <c r="C34" s="15">
        <v>869.7</v>
      </c>
      <c r="D34" s="16" t="s">
        <v>53</v>
      </c>
    </row>
    <row r="35" spans="1:4" ht="15.75" customHeight="1">
      <c r="A35" s="13" t="s">
        <v>54</v>
      </c>
      <c r="B35" s="17" t="s">
        <v>39</v>
      </c>
      <c r="C35" s="15"/>
      <c r="D35" s="16" t="s">
        <v>233</v>
      </c>
    </row>
    <row r="36" spans="1:4" ht="16.5" customHeight="1">
      <c r="A36" s="13" t="s">
        <v>56</v>
      </c>
      <c r="B36" s="17" t="s">
        <v>39</v>
      </c>
      <c r="C36" s="15"/>
      <c r="D36" s="16" t="s">
        <v>233</v>
      </c>
    </row>
    <row r="37" spans="1:4" ht="12.75">
      <c r="A37" s="13" t="s">
        <v>59</v>
      </c>
      <c r="B37" s="17" t="s">
        <v>39</v>
      </c>
      <c r="C37" s="15"/>
      <c r="D37" s="16" t="s">
        <v>233</v>
      </c>
    </row>
    <row r="38" spans="1:4" ht="14.25" customHeight="1">
      <c r="A38" s="13" t="s">
        <v>61</v>
      </c>
      <c r="B38" s="17" t="s">
        <v>39</v>
      </c>
      <c r="C38" s="15">
        <v>1946.4</v>
      </c>
      <c r="D38" s="16" t="s">
        <v>46</v>
      </c>
    </row>
    <row r="39" spans="1:4" ht="27" customHeight="1">
      <c r="A39" s="13" t="s">
        <v>62</v>
      </c>
      <c r="B39" s="17" t="s">
        <v>39</v>
      </c>
      <c r="C39" s="73">
        <v>580</v>
      </c>
      <c r="D39" s="16" t="s">
        <v>53</v>
      </c>
    </row>
    <row r="40" spans="1:4" ht="15" customHeight="1">
      <c r="A40" s="13" t="s">
        <v>63</v>
      </c>
      <c r="B40" s="17" t="s">
        <v>39</v>
      </c>
      <c r="C40" s="15"/>
      <c r="D40" s="16" t="s">
        <v>233</v>
      </c>
    </row>
    <row r="41" spans="1:4" ht="15" customHeight="1">
      <c r="A41" s="13" t="s">
        <v>64</v>
      </c>
      <c r="B41" s="17" t="s">
        <v>39</v>
      </c>
      <c r="C41" s="15">
        <v>55.52</v>
      </c>
      <c r="D41" s="16" t="s">
        <v>44</v>
      </c>
    </row>
    <row r="42" spans="1:4" ht="31.5" customHeight="1">
      <c r="A42" s="13" t="s">
        <v>65</v>
      </c>
      <c r="B42" s="17" t="s">
        <v>39</v>
      </c>
      <c r="C42" s="15">
        <v>24</v>
      </c>
      <c r="D42" s="16" t="s">
        <v>53</v>
      </c>
    </row>
    <row r="43" spans="1:4" ht="15.75" customHeight="1">
      <c r="A43" s="13" t="s">
        <v>66</v>
      </c>
      <c r="B43" s="17" t="s">
        <v>67</v>
      </c>
      <c r="C43" s="15">
        <v>2</v>
      </c>
      <c r="D43" s="16" t="s">
        <v>60</v>
      </c>
    </row>
    <row r="44" spans="1:4" ht="33" customHeight="1">
      <c r="A44" s="13" t="s">
        <v>68</v>
      </c>
      <c r="B44" s="17" t="s">
        <v>67</v>
      </c>
      <c r="C44" s="15">
        <v>2</v>
      </c>
      <c r="D44" s="16" t="s">
        <v>69</v>
      </c>
    </row>
    <row r="45" spans="1:4" ht="17.25" customHeight="1">
      <c r="A45" s="13" t="s">
        <v>70</v>
      </c>
      <c r="B45" s="17" t="s">
        <v>39</v>
      </c>
      <c r="C45" s="15">
        <v>10</v>
      </c>
      <c r="D45" s="16" t="s">
        <v>71</v>
      </c>
    </row>
    <row r="46" spans="1:4" ht="26.25" customHeight="1">
      <c r="A46" s="13" t="s">
        <v>72</v>
      </c>
      <c r="B46" s="17" t="s">
        <v>39</v>
      </c>
      <c r="C46" s="15">
        <f>1*1.88*8*2</f>
        <v>30.08</v>
      </c>
      <c r="D46" s="16" t="s">
        <v>53</v>
      </c>
    </row>
    <row r="47" spans="1:4" ht="17.25" customHeight="1">
      <c r="A47" s="13" t="s">
        <v>73</v>
      </c>
      <c r="B47" s="17" t="s">
        <v>67</v>
      </c>
      <c r="C47" s="15">
        <v>2</v>
      </c>
      <c r="D47" s="16" t="s">
        <v>44</v>
      </c>
    </row>
    <row r="48" spans="1:4" ht="16.5" customHeight="1">
      <c r="A48" s="13" t="s">
        <v>74</v>
      </c>
      <c r="B48" s="17" t="s">
        <v>39</v>
      </c>
      <c r="C48" s="15">
        <v>973.2</v>
      </c>
      <c r="D48" s="16" t="s">
        <v>60</v>
      </c>
    </row>
    <row r="49" spans="1:4" ht="12.75" customHeight="1">
      <c r="A49" s="18" t="s">
        <v>75</v>
      </c>
      <c r="B49" s="18"/>
      <c r="C49" s="18"/>
      <c r="D49" s="19"/>
    </row>
    <row r="50" spans="1:4" ht="12.75" customHeight="1">
      <c r="A50" s="20" t="s">
        <v>76</v>
      </c>
      <c r="B50" s="20"/>
      <c r="C50" s="20"/>
      <c r="D50" s="21"/>
    </row>
    <row r="51" spans="1:4" ht="12.75" customHeight="1">
      <c r="A51" s="22" t="s">
        <v>77</v>
      </c>
      <c r="B51" s="22"/>
      <c r="C51" s="22"/>
      <c r="D51" s="23"/>
    </row>
    <row r="52" spans="1:4" ht="25.5" customHeight="1">
      <c r="A52" s="13" t="s">
        <v>78</v>
      </c>
      <c r="B52" s="24" t="s">
        <v>79</v>
      </c>
      <c r="C52" s="24"/>
      <c r="D52" s="13" t="s">
        <v>80</v>
      </c>
    </row>
    <row r="53" spans="1:4" ht="25.5" customHeight="1">
      <c r="A53" s="13" t="s">
        <v>81</v>
      </c>
      <c r="B53" s="24" t="s">
        <v>79</v>
      </c>
      <c r="C53" s="24"/>
      <c r="D53" s="13" t="s">
        <v>80</v>
      </c>
    </row>
    <row r="54" spans="1:4" ht="31.5" customHeight="1">
      <c r="A54" s="13" t="s">
        <v>82</v>
      </c>
      <c r="B54" s="24" t="s">
        <v>79</v>
      </c>
      <c r="C54" s="24"/>
      <c r="D54" s="13" t="s">
        <v>83</v>
      </c>
    </row>
    <row r="55" spans="1:4" ht="30.75" customHeight="1">
      <c r="A55" s="13" t="s">
        <v>84</v>
      </c>
      <c r="B55" s="24" t="s">
        <v>79</v>
      </c>
      <c r="C55" s="24"/>
      <c r="D55" s="13" t="s">
        <v>83</v>
      </c>
    </row>
    <row r="56" spans="1:4" ht="30.75" customHeight="1">
      <c r="A56" s="13" t="s">
        <v>85</v>
      </c>
      <c r="B56" s="24" t="s">
        <v>79</v>
      </c>
      <c r="C56" s="24"/>
      <c r="D56" s="13" t="s">
        <v>86</v>
      </c>
    </row>
    <row r="57" spans="1:4" ht="24" customHeight="1">
      <c r="A57" s="13" t="s">
        <v>87</v>
      </c>
      <c r="B57" s="24" t="s">
        <v>79</v>
      </c>
      <c r="C57" s="24"/>
      <c r="D57" s="13" t="s">
        <v>88</v>
      </c>
    </row>
    <row r="58" spans="1:4" ht="28.5" customHeight="1">
      <c r="A58" s="13" t="s">
        <v>89</v>
      </c>
      <c r="B58" s="24" t="s">
        <v>79</v>
      </c>
      <c r="C58" s="24"/>
      <c r="D58" s="13" t="s">
        <v>40</v>
      </c>
    </row>
    <row r="59" spans="1:4" ht="25.5" customHeight="1">
      <c r="A59" s="13" t="s">
        <v>90</v>
      </c>
      <c r="B59" s="24" t="s">
        <v>79</v>
      </c>
      <c r="C59" s="24"/>
      <c r="D59" s="13" t="s">
        <v>88</v>
      </c>
    </row>
    <row r="60" spans="1:4" ht="28.5" customHeight="1">
      <c r="A60" s="13" t="s">
        <v>91</v>
      </c>
      <c r="B60" s="24" t="s">
        <v>79</v>
      </c>
      <c r="C60" s="24"/>
      <c r="D60" s="13" t="s">
        <v>92</v>
      </c>
    </row>
    <row r="61" spans="1:4" ht="27" customHeight="1">
      <c r="A61" s="13" t="s">
        <v>93</v>
      </c>
      <c r="B61" s="24" t="s">
        <v>79</v>
      </c>
      <c r="C61" s="24"/>
      <c r="D61" s="86" t="s">
        <v>94</v>
      </c>
    </row>
    <row r="62" spans="1:4" ht="12.75" customHeight="1">
      <c r="A62" s="28" t="s">
        <v>95</v>
      </c>
      <c r="B62" s="28"/>
      <c r="C62" s="29"/>
      <c r="D62" s="30"/>
    </row>
    <row r="63" spans="1:4" ht="24" customHeight="1">
      <c r="A63" s="13" t="s">
        <v>96</v>
      </c>
      <c r="B63" s="24" t="s">
        <v>79</v>
      </c>
      <c r="C63" s="24"/>
      <c r="D63" s="13" t="s">
        <v>88</v>
      </c>
    </row>
    <row r="64" spans="1:4" ht="30.75" customHeight="1">
      <c r="A64" s="13" t="s">
        <v>97</v>
      </c>
      <c r="B64" s="24" t="s">
        <v>79</v>
      </c>
      <c r="C64" s="24"/>
      <c r="D64" s="13" t="s">
        <v>98</v>
      </c>
    </row>
    <row r="65" spans="1:4" ht="27.75" customHeight="1">
      <c r="A65" s="13" t="s">
        <v>99</v>
      </c>
      <c r="B65" s="24" t="s">
        <v>79</v>
      </c>
      <c r="C65" s="24"/>
      <c r="D65" s="13" t="s">
        <v>100</v>
      </c>
    </row>
    <row r="66" spans="1:4" ht="24.75" customHeight="1">
      <c r="A66" s="13" t="s">
        <v>101</v>
      </c>
      <c r="B66" s="24" t="s">
        <v>79</v>
      </c>
      <c r="C66" s="24"/>
      <c r="D66" s="13" t="s">
        <v>88</v>
      </c>
    </row>
    <row r="67" spans="1:4" ht="24.75" customHeight="1">
      <c r="A67" s="13" t="s">
        <v>102</v>
      </c>
      <c r="B67" s="24" t="s">
        <v>79</v>
      </c>
      <c r="C67" s="24"/>
      <c r="D67" s="13" t="s">
        <v>60</v>
      </c>
    </row>
    <row r="68" spans="1:4" ht="24.75" customHeight="1">
      <c r="A68" s="13" t="s">
        <v>103</v>
      </c>
      <c r="B68" s="24" t="s">
        <v>79</v>
      </c>
      <c r="C68" s="24"/>
      <c r="D68" s="13" t="s">
        <v>104</v>
      </c>
    </row>
    <row r="69" spans="1:4" ht="27.75" customHeight="1">
      <c r="A69" s="13" t="s">
        <v>105</v>
      </c>
      <c r="B69" s="24" t="s">
        <v>79</v>
      </c>
      <c r="C69" s="24"/>
      <c r="D69" s="13" t="s">
        <v>106</v>
      </c>
    </row>
    <row r="70" spans="1:4" ht="25.5" customHeight="1">
      <c r="A70" s="13" t="s">
        <v>107</v>
      </c>
      <c r="B70" s="24" t="s">
        <v>79</v>
      </c>
      <c r="C70" s="24"/>
      <c r="D70" s="13" t="s">
        <v>108</v>
      </c>
    </row>
    <row r="71" spans="1:4" ht="24.75" customHeight="1">
      <c r="A71" s="13" t="s">
        <v>89</v>
      </c>
      <c r="B71" s="24" t="s">
        <v>79</v>
      </c>
      <c r="C71" s="24"/>
      <c r="D71" s="13" t="s">
        <v>40</v>
      </c>
    </row>
    <row r="72" spans="1:4" ht="27.75" customHeight="1">
      <c r="A72" s="13" t="s">
        <v>109</v>
      </c>
      <c r="B72" s="24" t="s">
        <v>79</v>
      </c>
      <c r="C72" s="24"/>
      <c r="D72" s="13" t="s">
        <v>108</v>
      </c>
    </row>
    <row r="73" spans="1:4" ht="12.75" customHeight="1">
      <c r="A73" s="28" t="s">
        <v>110</v>
      </c>
      <c r="B73" s="28"/>
      <c r="C73" s="31"/>
      <c r="D73" s="30"/>
    </row>
    <row r="74" spans="1:5" ht="27.75" customHeight="1">
      <c r="A74" s="13" t="s">
        <v>111</v>
      </c>
      <c r="B74" s="14" t="s">
        <v>112</v>
      </c>
      <c r="C74" s="15">
        <f>176*1.15*12</f>
        <v>2428.7999999999997</v>
      </c>
      <c r="D74" s="74" t="s">
        <v>69</v>
      </c>
      <c r="E74" s="8"/>
    </row>
    <row r="75" spans="1:4" ht="17.25" customHeight="1">
      <c r="A75" s="13" t="s">
        <v>113</v>
      </c>
      <c r="B75" s="33" t="s">
        <v>112</v>
      </c>
      <c r="C75" s="15">
        <f>0.75*2*2*51</f>
        <v>153</v>
      </c>
      <c r="D75" s="74" t="s">
        <v>114</v>
      </c>
    </row>
    <row r="76" spans="1:6" ht="27.75" customHeight="1">
      <c r="A76" s="13" t="s">
        <v>115</v>
      </c>
      <c r="B76" s="14" t="s">
        <v>67</v>
      </c>
      <c r="C76" s="15">
        <v>2</v>
      </c>
      <c r="D76" s="74" t="s">
        <v>116</v>
      </c>
      <c r="F76" s="159"/>
    </row>
    <row r="77" spans="1:4" ht="12.75" customHeight="1">
      <c r="A77" s="18" t="s">
        <v>117</v>
      </c>
      <c r="B77" s="18"/>
      <c r="C77" s="181"/>
      <c r="D77" s="145"/>
    </row>
    <row r="78" spans="1:4" ht="12.75">
      <c r="A78" s="35" t="s">
        <v>118</v>
      </c>
      <c r="B78" s="36"/>
      <c r="C78" s="38"/>
      <c r="D78" s="38"/>
    </row>
    <row r="79" spans="1:4" ht="12.75">
      <c r="A79" s="39" t="s">
        <v>288</v>
      </c>
      <c r="B79" s="40" t="s">
        <v>39</v>
      </c>
      <c r="C79" s="41">
        <v>6</v>
      </c>
      <c r="D79" s="42"/>
    </row>
    <row r="80" spans="1:4" ht="12.75">
      <c r="A80" s="39" t="s">
        <v>607</v>
      </c>
      <c r="B80" s="40" t="s">
        <v>67</v>
      </c>
      <c r="C80" s="40">
        <v>1</v>
      </c>
      <c r="D80" s="42"/>
    </row>
    <row r="81" spans="1:4" ht="12.75">
      <c r="A81" s="35" t="s">
        <v>235</v>
      </c>
      <c r="B81" s="36"/>
      <c r="C81" s="36"/>
      <c r="D81" s="45"/>
    </row>
    <row r="82" spans="1:4" ht="12.75">
      <c r="A82" s="39" t="s">
        <v>300</v>
      </c>
      <c r="B82" s="40" t="s">
        <v>67</v>
      </c>
      <c r="C82" s="40">
        <f>15</f>
        <v>15</v>
      </c>
      <c r="D82" s="42"/>
    </row>
    <row r="83" spans="1:4" ht="12.75">
      <c r="A83" s="43" t="s">
        <v>602</v>
      </c>
      <c r="B83" s="41" t="s">
        <v>122</v>
      </c>
      <c r="C83" s="40">
        <v>2</v>
      </c>
      <c r="D83" s="42"/>
    </row>
    <row r="84" spans="1:4" ht="12.75">
      <c r="A84" s="35" t="s">
        <v>467</v>
      </c>
      <c r="B84" s="36"/>
      <c r="C84" s="36"/>
      <c r="D84" s="45"/>
    </row>
    <row r="85" spans="1:4" ht="12.75">
      <c r="A85" s="43" t="s">
        <v>125</v>
      </c>
      <c r="B85" s="46" t="s">
        <v>67</v>
      </c>
      <c r="C85" s="41">
        <v>2</v>
      </c>
      <c r="D85" s="47" t="s">
        <v>130</v>
      </c>
    </row>
    <row r="86" spans="1:4" ht="12.75">
      <c r="A86" s="43" t="s">
        <v>468</v>
      </c>
      <c r="B86" s="40" t="s">
        <v>67</v>
      </c>
      <c r="C86" s="41">
        <f>1+1</f>
        <v>2</v>
      </c>
      <c r="D86" s="42"/>
    </row>
    <row r="87" spans="1:4" ht="12.75">
      <c r="A87" s="43" t="s">
        <v>131</v>
      </c>
      <c r="B87" s="40" t="s">
        <v>67</v>
      </c>
      <c r="C87" s="41">
        <f>1+1</f>
        <v>2</v>
      </c>
      <c r="D87" s="42"/>
    </row>
    <row r="88" spans="1:4" ht="12.75">
      <c r="A88" s="43" t="s">
        <v>134</v>
      </c>
      <c r="B88" s="40" t="s">
        <v>39</v>
      </c>
      <c r="C88" s="41">
        <f>2.4+0.5+0.4</f>
        <v>3.3</v>
      </c>
      <c r="D88" s="42"/>
    </row>
    <row r="89" spans="1:4" ht="12.75">
      <c r="A89" s="88" t="s">
        <v>268</v>
      </c>
      <c r="B89" s="40" t="s">
        <v>67</v>
      </c>
      <c r="C89" s="41">
        <v>2</v>
      </c>
      <c r="D89" s="42"/>
    </row>
    <row r="90" spans="1:4" ht="12.75">
      <c r="A90" s="35" t="s">
        <v>238</v>
      </c>
      <c r="B90" s="36"/>
      <c r="C90" s="36"/>
      <c r="D90" s="45"/>
    </row>
    <row r="91" spans="1:4" ht="12.75">
      <c r="A91" s="43" t="s">
        <v>475</v>
      </c>
      <c r="B91" s="40" t="s">
        <v>133</v>
      </c>
      <c r="C91" s="40">
        <f>81+7</f>
        <v>88</v>
      </c>
      <c r="D91" s="42"/>
    </row>
    <row r="92" spans="1:4" ht="12.75">
      <c r="A92" s="35" t="s">
        <v>137</v>
      </c>
      <c r="B92" s="48"/>
      <c r="C92" s="36"/>
      <c r="D92" s="45"/>
    </row>
    <row r="93" spans="1:4" ht="12.75">
      <c r="A93" s="39" t="s">
        <v>138</v>
      </c>
      <c r="B93" s="40" t="s">
        <v>122</v>
      </c>
      <c r="C93" s="40">
        <f>1</f>
        <v>1</v>
      </c>
      <c r="D93" s="42"/>
    </row>
    <row r="94" spans="1:4" ht="12.75">
      <c r="A94" s="39" t="s">
        <v>476</v>
      </c>
      <c r="B94" s="40" t="s">
        <v>122</v>
      </c>
      <c r="C94" s="40">
        <v>2</v>
      </c>
      <c r="D94" s="42"/>
    </row>
    <row r="95" spans="1:4" ht="12.75">
      <c r="A95" s="35" t="s">
        <v>213</v>
      </c>
      <c r="B95" s="36"/>
      <c r="C95" s="36"/>
      <c r="D95" s="45"/>
    </row>
    <row r="96" spans="1:4" ht="12.75">
      <c r="A96" s="43" t="s">
        <v>270</v>
      </c>
      <c r="B96" s="41" t="s">
        <v>67</v>
      </c>
      <c r="C96" s="41">
        <v>2</v>
      </c>
      <c r="D96" s="42"/>
    </row>
    <row r="97" spans="1:4" ht="12.75">
      <c r="A97" s="49" t="s">
        <v>141</v>
      </c>
      <c r="B97" s="36"/>
      <c r="C97" s="36"/>
      <c r="D97" s="45"/>
    </row>
    <row r="98" spans="1:4" ht="12.75">
      <c r="A98" s="51" t="s">
        <v>192</v>
      </c>
      <c r="B98" s="41" t="s">
        <v>67</v>
      </c>
      <c r="C98" s="40">
        <f>1+1</f>
        <v>2</v>
      </c>
      <c r="D98" s="42"/>
    </row>
    <row r="99" spans="1:4" s="1" customFormat="1" ht="12.75">
      <c r="A99" s="51" t="s">
        <v>242</v>
      </c>
      <c r="B99" s="41" t="s">
        <v>67</v>
      </c>
      <c r="C99" s="40">
        <v>2</v>
      </c>
      <c r="D99" s="47" t="s">
        <v>186</v>
      </c>
    </row>
    <row r="100" spans="1:4" ht="12.75">
      <c r="A100" s="51" t="s">
        <v>143</v>
      </c>
      <c r="B100" s="40" t="s">
        <v>67</v>
      </c>
      <c r="C100" s="46">
        <f>8</f>
        <v>8</v>
      </c>
      <c r="D100" s="42"/>
    </row>
    <row r="101" spans="1:4" ht="12.75">
      <c r="A101" s="49" t="s">
        <v>145</v>
      </c>
      <c r="B101" s="36"/>
      <c r="C101" s="36"/>
      <c r="D101" s="45"/>
    </row>
    <row r="102" spans="1:4" ht="12.75">
      <c r="A102" s="52" t="s">
        <v>194</v>
      </c>
      <c r="B102" s="41" t="s">
        <v>133</v>
      </c>
      <c r="C102" s="40">
        <f>3+3</f>
        <v>6</v>
      </c>
      <c r="D102" s="42"/>
    </row>
    <row r="103" spans="1:4" ht="12.75">
      <c r="A103" s="52" t="s">
        <v>147</v>
      </c>
      <c r="B103" s="40" t="s">
        <v>67</v>
      </c>
      <c r="C103" s="40">
        <v>5</v>
      </c>
      <c r="D103" s="42"/>
    </row>
    <row r="104" spans="1:4" ht="12.75">
      <c r="A104" s="52" t="s">
        <v>479</v>
      </c>
      <c r="B104" s="40" t="s">
        <v>67</v>
      </c>
      <c r="C104" s="40">
        <v>2</v>
      </c>
      <c r="D104" s="42"/>
    </row>
    <row r="105" spans="1:4" ht="12.75">
      <c r="A105" s="52" t="s">
        <v>149</v>
      </c>
      <c r="B105" s="40" t="s">
        <v>67</v>
      </c>
      <c r="C105" s="40">
        <v>2</v>
      </c>
      <c r="D105" s="42"/>
    </row>
    <row r="106" spans="1:4" ht="12.75">
      <c r="A106" s="52" t="s">
        <v>196</v>
      </c>
      <c r="B106" s="41" t="s">
        <v>67</v>
      </c>
      <c r="C106" s="40">
        <f>12+24</f>
        <v>36</v>
      </c>
      <c r="D106" s="42"/>
    </row>
    <row r="107" spans="1:4" s="1" customFormat="1" ht="12.75">
      <c r="A107" s="80" t="s">
        <v>151</v>
      </c>
      <c r="B107" s="41" t="s">
        <v>39</v>
      </c>
      <c r="C107" s="41">
        <v>1500</v>
      </c>
      <c r="D107" s="68" t="s">
        <v>130</v>
      </c>
    </row>
    <row r="108" spans="1:4" ht="12.75">
      <c r="A108" s="52" t="s">
        <v>197</v>
      </c>
      <c r="B108" s="41" t="s">
        <v>67</v>
      </c>
      <c r="C108" s="40">
        <f>2</f>
        <v>2</v>
      </c>
      <c r="D108" s="42"/>
    </row>
    <row r="109" spans="1:4" ht="12.75">
      <c r="A109" s="52" t="s">
        <v>152</v>
      </c>
      <c r="B109" s="41" t="s">
        <v>133</v>
      </c>
      <c r="C109" s="40"/>
      <c r="D109" s="42"/>
    </row>
    <row r="110" spans="1:4" ht="12.75">
      <c r="A110" s="53" t="s">
        <v>153</v>
      </c>
      <c r="B110" s="41" t="s">
        <v>67</v>
      </c>
      <c r="C110" s="40">
        <f>61</f>
        <v>61</v>
      </c>
      <c r="D110" s="42"/>
    </row>
    <row r="111" spans="1:4" ht="12.75">
      <c r="A111" s="52" t="s">
        <v>318</v>
      </c>
      <c r="B111" s="41" t="s">
        <v>67</v>
      </c>
      <c r="C111" s="40">
        <f>2</f>
        <v>2</v>
      </c>
      <c r="D111" s="42"/>
    </row>
    <row r="112" spans="1:4" ht="12.75">
      <c r="A112" s="52" t="s">
        <v>154</v>
      </c>
      <c r="B112" s="41" t="s">
        <v>67</v>
      </c>
      <c r="C112" s="40">
        <f>5+2</f>
        <v>7</v>
      </c>
      <c r="D112" s="42"/>
    </row>
    <row r="113" spans="1:4" ht="12.75">
      <c r="A113" s="52" t="s">
        <v>199</v>
      </c>
      <c r="B113" s="41" t="s">
        <v>67</v>
      </c>
      <c r="C113" s="40">
        <f>2</f>
        <v>2</v>
      </c>
      <c r="D113" s="42"/>
    </row>
    <row r="114" spans="1:4" ht="12.75">
      <c r="A114" s="49" t="s">
        <v>157</v>
      </c>
      <c r="B114" s="36"/>
      <c r="C114" s="36"/>
      <c r="D114" s="45"/>
    </row>
    <row r="115" spans="1:4" ht="12.75">
      <c r="A115" s="51" t="s">
        <v>158</v>
      </c>
      <c r="B115" s="40" t="s">
        <v>67</v>
      </c>
      <c r="C115" s="41">
        <v>16</v>
      </c>
      <c r="D115" s="47" t="s">
        <v>130</v>
      </c>
    </row>
    <row r="116" spans="1:4" s="1" customFormat="1" ht="12.75">
      <c r="A116" s="51" t="s">
        <v>202</v>
      </c>
      <c r="B116" s="41" t="s">
        <v>39</v>
      </c>
      <c r="C116" s="41">
        <v>90</v>
      </c>
      <c r="D116" s="81"/>
    </row>
    <row r="117" spans="1:4" ht="12.75">
      <c r="A117" s="51" t="s">
        <v>608</v>
      </c>
      <c r="B117" s="40" t="s">
        <v>67</v>
      </c>
      <c r="C117" s="40">
        <v>2</v>
      </c>
      <c r="D117" s="42"/>
    </row>
    <row r="118" spans="1:4" ht="12.75">
      <c r="A118" s="49" t="s">
        <v>161</v>
      </c>
      <c r="B118" s="36"/>
      <c r="C118" s="36"/>
      <c r="D118" s="45"/>
    </row>
    <row r="119" spans="1:4" ht="12.75">
      <c r="A119" s="54" t="s">
        <v>162</v>
      </c>
      <c r="B119" s="55" t="s">
        <v>39</v>
      </c>
      <c r="C119" s="182">
        <v>973.2</v>
      </c>
      <c r="D119" s="68" t="s">
        <v>44</v>
      </c>
    </row>
    <row r="120" spans="1:4" ht="12.75">
      <c r="A120" s="54" t="s">
        <v>163</v>
      </c>
      <c r="B120" s="55" t="s">
        <v>39</v>
      </c>
      <c r="C120" s="182">
        <v>973.2</v>
      </c>
      <c r="D120" s="89" t="s">
        <v>164</v>
      </c>
    </row>
    <row r="121" spans="1:4" ht="12.75">
      <c r="A121" s="49" t="s">
        <v>165</v>
      </c>
      <c r="B121" s="38"/>
      <c r="C121" s="61"/>
      <c r="D121" s="62"/>
    </row>
    <row r="122" spans="1:4" ht="12.75">
      <c r="A122" s="54" t="s">
        <v>162</v>
      </c>
      <c r="B122" s="55" t="s">
        <v>39</v>
      </c>
      <c r="C122" s="182">
        <f>973.2+53.76</f>
        <v>1026.96</v>
      </c>
      <c r="D122" s="68" t="s">
        <v>44</v>
      </c>
    </row>
    <row r="123" spans="1:4" ht="12.75">
      <c r="A123" s="54" t="s">
        <v>163</v>
      </c>
      <c r="B123" s="55" t="s">
        <v>39</v>
      </c>
      <c r="C123" s="182">
        <f>973.2+53.76</f>
        <v>1026.96</v>
      </c>
      <c r="D123" s="89" t="s">
        <v>164</v>
      </c>
    </row>
    <row r="124" spans="1:4" ht="12.75">
      <c r="A124" s="49" t="s">
        <v>166</v>
      </c>
      <c r="B124" s="38"/>
      <c r="C124" s="61"/>
      <c r="D124" s="62"/>
    </row>
    <row r="125" spans="1:4" ht="12.75">
      <c r="A125" s="54" t="s">
        <v>162</v>
      </c>
      <c r="B125" s="55" t="s">
        <v>39</v>
      </c>
      <c r="C125" s="182">
        <f>973.2+155.8+327.5</f>
        <v>1456.5</v>
      </c>
      <c r="D125" s="68" t="s">
        <v>175</v>
      </c>
    </row>
    <row r="126" spans="1:4" ht="12.75">
      <c r="A126" s="54" t="s">
        <v>163</v>
      </c>
      <c r="B126" s="55" t="s">
        <v>39</v>
      </c>
      <c r="C126" s="182">
        <f>973.2+155.8+327.5</f>
        <v>1456.5</v>
      </c>
      <c r="D126" s="89" t="s">
        <v>164</v>
      </c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49:C49"/>
    <mergeCell ref="A50:C50"/>
    <mergeCell ref="A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2:B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A73:B73"/>
    <mergeCell ref="A77:B77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4"/>
  </sheetPr>
  <dimension ref="A1:F134"/>
  <sheetViews>
    <sheetView workbookViewId="0" topLeftCell="A112">
      <selection activeCell="A137" sqref="A137"/>
    </sheetView>
  </sheetViews>
  <sheetFormatPr defaultColWidth="9.00390625" defaultRowHeight="12.75"/>
  <cols>
    <col min="1" max="1" width="49.125" style="0" customWidth="1"/>
    <col min="2" max="2" width="8.75390625" style="0" customWidth="1"/>
    <col min="3" max="3" width="15.125" style="0" customWidth="1"/>
    <col min="4" max="4" width="21.875" style="0" customWidth="1"/>
    <col min="6" max="6" width="10.7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609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610</v>
      </c>
    </row>
    <row r="8" spans="1:3" ht="12.75">
      <c r="A8" t="s">
        <v>7</v>
      </c>
      <c r="C8" s="4" t="s">
        <v>611</v>
      </c>
    </row>
    <row r="9" spans="1:3" ht="12.75">
      <c r="A9" t="s">
        <v>9</v>
      </c>
      <c r="C9" s="7" t="s">
        <v>612</v>
      </c>
    </row>
    <row r="10" ht="12.75">
      <c r="C10" s="7"/>
    </row>
    <row r="11" spans="1:3" ht="12.75">
      <c r="A11" t="s">
        <v>11</v>
      </c>
      <c r="C11" s="7" t="s">
        <v>613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71">
        <v>0.9175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1770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1770</v>
      </c>
      <c r="D30" s="16" t="s">
        <v>42</v>
      </c>
    </row>
    <row r="31" spans="1:4" ht="12.75">
      <c r="A31" s="13" t="s">
        <v>43</v>
      </c>
      <c r="B31" s="14" t="s">
        <v>39</v>
      </c>
      <c r="C31" s="123">
        <v>6115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175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525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73">
        <v>1770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2655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>
        <v>6</v>
      </c>
      <c r="D36" s="16" t="s">
        <v>55</v>
      </c>
    </row>
    <row r="37" spans="1:4" ht="27.75" customHeight="1">
      <c r="A37" s="13" t="s">
        <v>56</v>
      </c>
      <c r="B37" s="17" t="s">
        <v>39</v>
      </c>
      <c r="C37" s="15">
        <v>6</v>
      </c>
      <c r="D37" s="16" t="s">
        <v>57</v>
      </c>
    </row>
    <row r="38" spans="1:4" ht="27.75" customHeight="1">
      <c r="A38" s="13"/>
      <c r="B38" s="17" t="s">
        <v>39</v>
      </c>
      <c r="C38" s="15">
        <v>6</v>
      </c>
      <c r="D38" s="16" t="s">
        <v>58</v>
      </c>
    </row>
    <row r="39" spans="1:4" ht="12.75">
      <c r="A39" s="13" t="s">
        <v>59</v>
      </c>
      <c r="B39" s="17" t="s">
        <v>39</v>
      </c>
      <c r="C39" s="15">
        <v>54</v>
      </c>
      <c r="D39" s="16" t="s">
        <v>60</v>
      </c>
    </row>
    <row r="40" spans="1:4" ht="14.25" customHeight="1">
      <c r="A40" s="13" t="s">
        <v>61</v>
      </c>
      <c r="B40" s="17" t="s">
        <v>39</v>
      </c>
      <c r="C40" s="15">
        <v>4720</v>
      </c>
      <c r="D40" s="16" t="s">
        <v>46</v>
      </c>
    </row>
    <row r="41" spans="1:4" ht="27" customHeight="1">
      <c r="A41" s="13" t="s">
        <v>62</v>
      </c>
      <c r="B41" s="17" t="s">
        <v>39</v>
      </c>
      <c r="C41" s="73">
        <v>1770</v>
      </c>
      <c r="D41" s="16" t="s">
        <v>53</v>
      </c>
    </row>
    <row r="42" spans="1:4" ht="15" customHeight="1">
      <c r="A42" s="13" t="s">
        <v>63</v>
      </c>
      <c r="B42" s="17" t="s">
        <v>39</v>
      </c>
      <c r="C42" s="15">
        <v>6</v>
      </c>
      <c r="D42" s="16" t="s">
        <v>44</v>
      </c>
    </row>
    <row r="43" spans="1:4" ht="15" customHeight="1">
      <c r="A43" s="13" t="s">
        <v>64</v>
      </c>
      <c r="B43" s="17" t="s">
        <v>39</v>
      </c>
      <c r="C43" s="15">
        <v>241.2</v>
      </c>
      <c r="D43" s="16" t="s">
        <v>44</v>
      </c>
    </row>
    <row r="44" spans="1:4" ht="31.5" customHeight="1">
      <c r="A44" s="13" t="s">
        <v>65</v>
      </c>
      <c r="B44" s="17" t="s">
        <v>39</v>
      </c>
      <c r="C44" s="15">
        <v>72</v>
      </c>
      <c r="D44" s="16" t="s">
        <v>53</v>
      </c>
    </row>
    <row r="45" spans="1:4" ht="15.75" customHeight="1">
      <c r="A45" s="13" t="s">
        <v>66</v>
      </c>
      <c r="B45" s="17" t="s">
        <v>67</v>
      </c>
      <c r="C45" s="15">
        <v>6</v>
      </c>
      <c r="D45" s="16" t="s">
        <v>60</v>
      </c>
    </row>
    <row r="46" spans="1:4" ht="33" customHeight="1">
      <c r="A46" s="13" t="s">
        <v>68</v>
      </c>
      <c r="B46" s="17" t="s">
        <v>67</v>
      </c>
      <c r="C46" s="15">
        <v>6</v>
      </c>
      <c r="D46" s="16" t="s">
        <v>69</v>
      </c>
    </row>
    <row r="47" spans="1:4" ht="17.25" customHeight="1">
      <c r="A47" s="13" t="s">
        <v>70</v>
      </c>
      <c r="B47" s="17" t="s">
        <v>39</v>
      </c>
      <c r="C47" s="15">
        <v>30</v>
      </c>
      <c r="D47" s="16" t="s">
        <v>71</v>
      </c>
    </row>
    <row r="48" spans="1:4" ht="26.25" customHeight="1">
      <c r="A48" s="13" t="s">
        <v>72</v>
      </c>
      <c r="B48" s="17" t="s">
        <v>39</v>
      </c>
      <c r="C48" s="15">
        <f>1*1.88*8*6</f>
        <v>90.24</v>
      </c>
      <c r="D48" s="16" t="s">
        <v>53</v>
      </c>
    </row>
    <row r="49" spans="1:4" ht="17.25" customHeight="1">
      <c r="A49" s="13" t="s">
        <v>73</v>
      </c>
      <c r="B49" s="17" t="s">
        <v>67</v>
      </c>
      <c r="C49" s="15">
        <v>6</v>
      </c>
      <c r="D49" s="16" t="s">
        <v>44</v>
      </c>
    </row>
    <row r="50" spans="1:4" ht="16.5" customHeight="1">
      <c r="A50" s="13" t="s">
        <v>74</v>
      </c>
      <c r="B50" s="17" t="s">
        <v>39</v>
      </c>
      <c r="C50" s="15">
        <v>2360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31.5" customHeight="1">
      <c r="A56" s="13" t="s">
        <v>82</v>
      </c>
      <c r="B56" s="24" t="s">
        <v>79</v>
      </c>
      <c r="C56" s="24"/>
      <c r="D56" s="13" t="s">
        <v>83</v>
      </c>
    </row>
    <row r="57" spans="1:4" ht="30.75" customHeight="1">
      <c r="A57" s="13" t="s">
        <v>84</v>
      </c>
      <c r="B57" s="24" t="s">
        <v>79</v>
      </c>
      <c r="C57" s="24"/>
      <c r="D57" s="13" t="s">
        <v>83</v>
      </c>
    </row>
    <row r="58" spans="1:4" ht="30.75" customHeight="1">
      <c r="A58" s="13" t="s">
        <v>85</v>
      </c>
      <c r="B58" s="24" t="s">
        <v>79</v>
      </c>
      <c r="C58" s="24"/>
      <c r="D58" s="13" t="s">
        <v>86</v>
      </c>
    </row>
    <row r="59" spans="1:4" ht="27" customHeight="1">
      <c r="A59" s="13" t="s">
        <v>87</v>
      </c>
      <c r="B59" s="24" t="s">
        <v>79</v>
      </c>
      <c r="C59" s="24"/>
      <c r="D59" s="13" t="s">
        <v>88</v>
      </c>
    </row>
    <row r="60" spans="1:4" ht="28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8.5" customHeight="1">
      <c r="A62" s="13" t="s">
        <v>91</v>
      </c>
      <c r="B62" s="24" t="s">
        <v>79</v>
      </c>
      <c r="C62" s="24"/>
      <c r="D62" s="13" t="s">
        <v>92</v>
      </c>
    </row>
    <row r="63" spans="1:4" ht="28.5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5.5" customHeight="1">
      <c r="A65" s="13" t="s">
        <v>96</v>
      </c>
      <c r="B65" s="24" t="s">
        <v>79</v>
      </c>
      <c r="C65" s="24"/>
      <c r="D65" s="13" t="s">
        <v>88</v>
      </c>
    </row>
    <row r="66" spans="1:4" ht="30.75" customHeight="1">
      <c r="A66" s="13" t="s">
        <v>97</v>
      </c>
      <c r="B66" s="24" t="s">
        <v>79</v>
      </c>
      <c r="C66" s="24"/>
      <c r="D66" s="13" t="s">
        <v>98</v>
      </c>
    </row>
    <row r="67" spans="1:4" ht="27.75" customHeight="1">
      <c r="A67" s="13" t="s">
        <v>99</v>
      </c>
      <c r="B67" s="24" t="s">
        <v>79</v>
      </c>
      <c r="C67" s="24"/>
      <c r="D67" s="13" t="s">
        <v>100</v>
      </c>
    </row>
    <row r="68" spans="1:4" ht="26.25" customHeight="1">
      <c r="A68" s="13" t="s">
        <v>101</v>
      </c>
      <c r="B68" s="24" t="s">
        <v>79</v>
      </c>
      <c r="C68" s="24"/>
      <c r="D68" s="13" t="s">
        <v>88</v>
      </c>
    </row>
    <row r="69" spans="1:4" ht="24.75" customHeight="1">
      <c r="A69" s="13" t="s">
        <v>102</v>
      </c>
      <c r="B69" s="24" t="s">
        <v>79</v>
      </c>
      <c r="C69" s="24"/>
      <c r="D69" s="13" t="s">
        <v>60</v>
      </c>
    </row>
    <row r="70" spans="1:4" ht="25.5" customHeight="1">
      <c r="A70" s="13" t="s">
        <v>103</v>
      </c>
      <c r="B70" s="24" t="s">
        <v>79</v>
      </c>
      <c r="C70" s="24"/>
      <c r="D70" s="13" t="s">
        <v>104</v>
      </c>
    </row>
    <row r="71" spans="1:4" ht="27.7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6.25" customHeight="1">
      <c r="A73" s="13" t="s">
        <v>89</v>
      </c>
      <c r="B73" s="24" t="s">
        <v>79</v>
      </c>
      <c r="C73" s="24"/>
      <c r="D73" s="13" t="s">
        <v>40</v>
      </c>
    </row>
    <row r="74" spans="1:4" ht="27.7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5" ht="27.75" customHeight="1">
      <c r="A76" s="13" t="s">
        <v>111</v>
      </c>
      <c r="B76" s="14" t="s">
        <v>112</v>
      </c>
      <c r="C76" s="15">
        <f>619*1.15*12</f>
        <v>8542.199999999999</v>
      </c>
      <c r="D76" s="74" t="s">
        <v>69</v>
      </c>
      <c r="E76" s="8"/>
    </row>
    <row r="77" spans="1:4" ht="17.25" customHeight="1">
      <c r="A77" s="13" t="s">
        <v>113</v>
      </c>
      <c r="B77" s="33" t="s">
        <v>112</v>
      </c>
      <c r="C77" s="15">
        <f>0.75*6*2*51</f>
        <v>459</v>
      </c>
      <c r="D77" s="74" t="s">
        <v>114</v>
      </c>
    </row>
    <row r="78" spans="1:6" ht="24.75" customHeight="1">
      <c r="A78" s="13" t="s">
        <v>115</v>
      </c>
      <c r="B78" s="14" t="s">
        <v>67</v>
      </c>
      <c r="C78" s="15">
        <v>6</v>
      </c>
      <c r="D78" s="74" t="s">
        <v>116</v>
      </c>
      <c r="F78" s="159"/>
    </row>
    <row r="79" spans="1:4" ht="12.75" customHeight="1">
      <c r="A79" s="75" t="s">
        <v>117</v>
      </c>
      <c r="B79" s="75"/>
      <c r="C79" s="181"/>
      <c r="D79" s="19"/>
    </row>
    <row r="80" spans="1:4" ht="12.75">
      <c r="A80" s="35" t="s">
        <v>118</v>
      </c>
      <c r="B80" s="36"/>
      <c r="C80" s="38"/>
      <c r="D80" s="38"/>
    </row>
    <row r="81" spans="1:4" ht="12.75">
      <c r="A81" s="39" t="s">
        <v>119</v>
      </c>
      <c r="B81" s="40" t="s">
        <v>39</v>
      </c>
      <c r="C81" s="40">
        <v>11</v>
      </c>
      <c r="D81" s="42"/>
    </row>
    <row r="82" spans="1:4" ht="12.75">
      <c r="A82" s="35" t="s">
        <v>467</v>
      </c>
      <c r="B82" s="36"/>
      <c r="C82" s="36"/>
      <c r="D82" s="45"/>
    </row>
    <row r="83" spans="1:4" ht="12.75">
      <c r="A83" s="43" t="s">
        <v>127</v>
      </c>
      <c r="B83" s="46" t="s">
        <v>67</v>
      </c>
      <c r="C83" s="40">
        <f>2+2</f>
        <v>4</v>
      </c>
      <c r="D83" s="42"/>
    </row>
    <row r="84" spans="1:4" ht="12.75">
      <c r="A84" s="43" t="s">
        <v>185</v>
      </c>
      <c r="B84" s="46" t="s">
        <v>67</v>
      </c>
      <c r="C84" s="41">
        <f>1</f>
        <v>1</v>
      </c>
      <c r="D84" s="42"/>
    </row>
    <row r="85" spans="1:4" ht="12.75">
      <c r="A85" s="43" t="s">
        <v>128</v>
      </c>
      <c r="B85" s="46" t="s">
        <v>67</v>
      </c>
      <c r="C85" s="41">
        <f>1+2+1+1</f>
        <v>5</v>
      </c>
      <c r="D85" s="42"/>
    </row>
    <row r="86" spans="1:4" ht="12.75">
      <c r="A86" s="43" t="s">
        <v>468</v>
      </c>
      <c r="B86" s="40" t="s">
        <v>67</v>
      </c>
      <c r="C86" s="41">
        <v>6</v>
      </c>
      <c r="D86" s="47" t="s">
        <v>130</v>
      </c>
    </row>
    <row r="87" spans="1:4" ht="12.75">
      <c r="A87" s="43" t="s">
        <v>131</v>
      </c>
      <c r="B87" s="40" t="s">
        <v>67</v>
      </c>
      <c r="C87" s="41">
        <v>6</v>
      </c>
      <c r="D87" s="47" t="s">
        <v>130</v>
      </c>
    </row>
    <row r="88" spans="1:4" ht="12.75">
      <c r="A88" s="43" t="s">
        <v>266</v>
      </c>
      <c r="B88" s="46" t="s">
        <v>302</v>
      </c>
      <c r="C88" s="41">
        <f>1</f>
        <v>1</v>
      </c>
      <c r="D88" s="42"/>
    </row>
    <row r="89" spans="1:4" ht="12.75">
      <c r="A89" s="43" t="s">
        <v>495</v>
      </c>
      <c r="B89" s="40" t="s">
        <v>67</v>
      </c>
      <c r="C89" s="41">
        <f>1+3</f>
        <v>4</v>
      </c>
      <c r="D89" s="42"/>
    </row>
    <row r="90" spans="1:4" ht="12.75">
      <c r="A90" s="43" t="s">
        <v>189</v>
      </c>
      <c r="B90" s="40" t="s">
        <v>133</v>
      </c>
      <c r="C90" s="41">
        <f>9+3+3.5</f>
        <v>15.5</v>
      </c>
      <c r="D90" s="42"/>
    </row>
    <row r="91" spans="1:4" ht="12.75">
      <c r="A91" s="43" t="s">
        <v>132</v>
      </c>
      <c r="B91" s="40" t="s">
        <v>133</v>
      </c>
      <c r="C91" s="41">
        <f>0.7+0.5+0.5+2.5</f>
        <v>4.2</v>
      </c>
      <c r="D91" s="42"/>
    </row>
    <row r="92" spans="1:4" ht="12.75">
      <c r="A92" s="43" t="s">
        <v>190</v>
      </c>
      <c r="B92" s="40" t="s">
        <v>67</v>
      </c>
      <c r="C92" s="41">
        <f>1+1+1+1+1+1+3+2+4+1</f>
        <v>16</v>
      </c>
      <c r="D92" s="42"/>
    </row>
    <row r="93" spans="1:4" ht="12.75">
      <c r="A93" s="43" t="s">
        <v>134</v>
      </c>
      <c r="B93" s="40" t="s">
        <v>39</v>
      </c>
      <c r="C93" s="41">
        <f>8+0.4+0.4+0.4+0.8+0.8+0.4+0.8+0.4+0.8+0.6+0.3+1</f>
        <v>15.100000000000005</v>
      </c>
      <c r="D93" s="42"/>
    </row>
    <row r="94" spans="1:4" ht="12.75">
      <c r="A94" s="43" t="s">
        <v>472</v>
      </c>
      <c r="B94" s="40" t="s">
        <v>67</v>
      </c>
      <c r="C94" s="41">
        <v>3</v>
      </c>
      <c r="D94" s="42"/>
    </row>
    <row r="95" spans="1:4" ht="12.75">
      <c r="A95" s="88" t="s">
        <v>614</v>
      </c>
      <c r="B95" s="40" t="s">
        <v>67</v>
      </c>
      <c r="C95" s="40">
        <v>1</v>
      </c>
      <c r="D95" s="42"/>
    </row>
    <row r="96" spans="1:4" ht="12.75">
      <c r="A96" s="35" t="s">
        <v>139</v>
      </c>
      <c r="B96" s="36"/>
      <c r="C96" s="36"/>
      <c r="D96" s="45"/>
    </row>
    <row r="97" spans="1:4" ht="12.75">
      <c r="A97" s="39" t="s">
        <v>140</v>
      </c>
      <c r="B97" s="40" t="s">
        <v>39</v>
      </c>
      <c r="C97" s="40">
        <v>8</v>
      </c>
      <c r="D97" s="42"/>
    </row>
    <row r="98" spans="1:4" ht="12.75">
      <c r="A98" s="49" t="s">
        <v>141</v>
      </c>
      <c r="B98" s="36"/>
      <c r="C98" s="36"/>
      <c r="D98" s="45"/>
    </row>
    <row r="99" spans="1:4" ht="12.75">
      <c r="A99" s="52" t="s">
        <v>256</v>
      </c>
      <c r="B99" s="40" t="s">
        <v>133</v>
      </c>
      <c r="C99" s="41">
        <v>14</v>
      </c>
      <c r="D99" s="42"/>
    </row>
    <row r="100" spans="1:4" ht="12.75">
      <c r="A100" s="51" t="s">
        <v>192</v>
      </c>
      <c r="B100" s="41" t="s">
        <v>67</v>
      </c>
      <c r="C100" s="41">
        <f>1+1+2</f>
        <v>4</v>
      </c>
      <c r="D100" s="42"/>
    </row>
    <row r="101" spans="1:4" ht="12.75">
      <c r="A101" s="51" t="s">
        <v>142</v>
      </c>
      <c r="B101" s="41" t="s">
        <v>67</v>
      </c>
      <c r="C101" s="41">
        <v>1</v>
      </c>
      <c r="D101" s="42"/>
    </row>
    <row r="102" spans="1:4" ht="12.75">
      <c r="A102" s="51" t="s">
        <v>218</v>
      </c>
      <c r="B102" s="41" t="s">
        <v>39</v>
      </c>
      <c r="C102" s="41">
        <v>12</v>
      </c>
      <c r="D102" s="42"/>
    </row>
    <row r="103" spans="1:4" ht="12.75">
      <c r="A103" s="51" t="s">
        <v>143</v>
      </c>
      <c r="B103" s="40" t="s">
        <v>67</v>
      </c>
      <c r="C103" s="46">
        <f>9</f>
        <v>9</v>
      </c>
      <c r="D103" s="42"/>
    </row>
    <row r="104" spans="1:4" ht="12.75">
      <c r="A104" s="51" t="s">
        <v>301</v>
      </c>
      <c r="B104" s="40" t="s">
        <v>133</v>
      </c>
      <c r="C104" s="46">
        <f>18</f>
        <v>18</v>
      </c>
      <c r="D104" s="42"/>
    </row>
    <row r="105" spans="1:4" ht="12.75">
      <c r="A105" s="51" t="s">
        <v>615</v>
      </c>
      <c r="B105" s="40" t="s">
        <v>39</v>
      </c>
      <c r="C105" s="46">
        <v>324</v>
      </c>
      <c r="D105" s="42"/>
    </row>
    <row r="106" spans="1:4" ht="12.75">
      <c r="A106" s="49" t="s">
        <v>145</v>
      </c>
      <c r="B106" s="36"/>
      <c r="C106" s="36"/>
      <c r="D106" s="45"/>
    </row>
    <row r="107" spans="1:4" s="1" customFormat="1" ht="12.75">
      <c r="A107" s="80" t="s">
        <v>501</v>
      </c>
      <c r="B107" s="41" t="s">
        <v>112</v>
      </c>
      <c r="C107" s="41">
        <v>3.5</v>
      </c>
      <c r="D107" s="68"/>
    </row>
    <row r="108" spans="1:4" ht="12.75">
      <c r="A108" s="52" t="s">
        <v>479</v>
      </c>
      <c r="B108" s="40" t="s">
        <v>67</v>
      </c>
      <c r="C108" s="40">
        <v>6</v>
      </c>
      <c r="D108" s="42"/>
    </row>
    <row r="109" spans="1:4" ht="12.75">
      <c r="A109" s="52" t="s">
        <v>149</v>
      </c>
      <c r="B109" s="40" t="s">
        <v>67</v>
      </c>
      <c r="C109" s="40">
        <v>6</v>
      </c>
      <c r="D109" s="42"/>
    </row>
    <row r="110" spans="1:4" ht="12.75">
      <c r="A110" s="52" t="s">
        <v>196</v>
      </c>
      <c r="B110" s="41" t="s">
        <v>67</v>
      </c>
      <c r="C110" s="40">
        <f>4+4</f>
        <v>8</v>
      </c>
      <c r="D110" s="42"/>
    </row>
    <row r="111" spans="1:4" ht="12.75">
      <c r="A111" s="52" t="s">
        <v>150</v>
      </c>
      <c r="B111" s="41" t="s">
        <v>39</v>
      </c>
      <c r="C111" s="40">
        <f>18</f>
        <v>18</v>
      </c>
      <c r="D111" s="42"/>
    </row>
    <row r="112" spans="1:4" s="1" customFormat="1" ht="12.75">
      <c r="A112" s="80" t="s">
        <v>151</v>
      </c>
      <c r="B112" s="41" t="s">
        <v>39</v>
      </c>
      <c r="C112" s="41">
        <v>3602</v>
      </c>
      <c r="D112" s="68" t="s">
        <v>130</v>
      </c>
    </row>
    <row r="113" spans="1:4" ht="12.75">
      <c r="A113" s="52" t="s">
        <v>197</v>
      </c>
      <c r="B113" s="41" t="s">
        <v>67</v>
      </c>
      <c r="C113" s="40">
        <f>1</f>
        <v>1</v>
      </c>
      <c r="D113" s="42"/>
    </row>
    <row r="114" spans="1:4" ht="12.75">
      <c r="A114" s="52" t="s">
        <v>198</v>
      </c>
      <c r="B114" s="41" t="s">
        <v>67</v>
      </c>
      <c r="C114" s="40">
        <f>3</f>
        <v>3</v>
      </c>
      <c r="D114" s="42"/>
    </row>
    <row r="115" spans="1:4" ht="12.75">
      <c r="A115" s="52" t="s">
        <v>154</v>
      </c>
      <c r="B115" s="41" t="s">
        <v>67</v>
      </c>
      <c r="C115" s="40">
        <f>6+12</f>
        <v>18</v>
      </c>
      <c r="D115" s="42"/>
    </row>
    <row r="116" spans="1:4" ht="12.75">
      <c r="A116" s="52" t="s">
        <v>199</v>
      </c>
      <c r="B116" s="41" t="s">
        <v>67</v>
      </c>
      <c r="C116" s="40">
        <v>1</v>
      </c>
      <c r="D116" s="42"/>
    </row>
    <row r="117" spans="1:4" ht="12.75">
      <c r="A117" s="49" t="s">
        <v>157</v>
      </c>
      <c r="B117" s="36"/>
      <c r="C117" s="36"/>
      <c r="D117" s="45"/>
    </row>
    <row r="118" spans="1:4" s="1" customFormat="1" ht="12.75">
      <c r="A118" s="80" t="s">
        <v>158</v>
      </c>
      <c r="B118" s="41" t="s">
        <v>67</v>
      </c>
      <c r="C118" s="41">
        <v>18</v>
      </c>
      <c r="D118" s="68" t="s">
        <v>186</v>
      </c>
    </row>
    <row r="119" spans="1:4" ht="12.75">
      <c r="A119" s="51" t="s">
        <v>202</v>
      </c>
      <c r="B119" s="40" t="s">
        <v>39</v>
      </c>
      <c r="C119" s="41">
        <v>109</v>
      </c>
      <c r="D119" s="42"/>
    </row>
    <row r="120" spans="1:4" ht="12.75">
      <c r="A120" s="51" t="s">
        <v>246</v>
      </c>
      <c r="B120" s="40" t="s">
        <v>122</v>
      </c>
      <c r="C120" s="40">
        <f>2</f>
        <v>2</v>
      </c>
      <c r="D120" s="42"/>
    </row>
    <row r="121" spans="1:4" ht="12.75">
      <c r="A121" s="51" t="s">
        <v>247</v>
      </c>
      <c r="B121" s="40" t="s">
        <v>67</v>
      </c>
      <c r="C121" s="40">
        <v>6</v>
      </c>
      <c r="D121" s="42"/>
    </row>
    <row r="122" spans="1:4" ht="12.75">
      <c r="A122" s="49" t="s">
        <v>161</v>
      </c>
      <c r="B122" s="36"/>
      <c r="C122" s="36"/>
      <c r="D122" s="45"/>
    </row>
    <row r="123" spans="1:4" ht="12.75">
      <c r="A123" s="54" t="s">
        <v>162</v>
      </c>
      <c r="B123" s="55" t="s">
        <v>39</v>
      </c>
      <c r="C123" s="182">
        <v>2360</v>
      </c>
      <c r="D123" s="68" t="s">
        <v>44</v>
      </c>
    </row>
    <row r="124" spans="1:4" ht="12.75">
      <c r="A124" s="54" t="s">
        <v>163</v>
      </c>
      <c r="B124" s="55" t="s">
        <v>39</v>
      </c>
      <c r="C124" s="182">
        <v>2360</v>
      </c>
      <c r="D124" s="89" t="s">
        <v>164</v>
      </c>
    </row>
    <row r="125" spans="1:4" ht="12.75">
      <c r="A125" s="49" t="s">
        <v>165</v>
      </c>
      <c r="B125" s="36"/>
      <c r="C125" s="36"/>
      <c r="D125" s="45"/>
    </row>
    <row r="126" spans="1:4" ht="12.75">
      <c r="A126" s="54" t="s">
        <v>162</v>
      </c>
      <c r="B126" s="55" t="s">
        <v>39</v>
      </c>
      <c r="C126" s="182">
        <f>2360+161.28</f>
        <v>2521.28</v>
      </c>
      <c r="D126" s="68" t="s">
        <v>44</v>
      </c>
    </row>
    <row r="127" spans="1:4" ht="12.75">
      <c r="A127" s="54" t="s">
        <v>163</v>
      </c>
      <c r="B127" s="55" t="s">
        <v>39</v>
      </c>
      <c r="C127" s="182">
        <f>2360+161.28</f>
        <v>2521.28</v>
      </c>
      <c r="D127" s="89" t="s">
        <v>164</v>
      </c>
    </row>
    <row r="128" spans="1:4" ht="12.75">
      <c r="A128" s="49" t="s">
        <v>166</v>
      </c>
      <c r="B128" s="36"/>
      <c r="C128" s="36"/>
      <c r="D128" s="45"/>
    </row>
    <row r="129" spans="1:4" ht="12.75">
      <c r="A129" s="54" t="s">
        <v>162</v>
      </c>
      <c r="B129" s="55" t="s">
        <v>39</v>
      </c>
      <c r="C129" s="182">
        <f>2360+811.5+958.5</f>
        <v>4130</v>
      </c>
      <c r="D129" s="68" t="s">
        <v>175</v>
      </c>
    </row>
    <row r="130" spans="1:4" ht="12.75">
      <c r="A130" s="54" t="s">
        <v>163</v>
      </c>
      <c r="B130" s="55" t="s">
        <v>39</v>
      </c>
      <c r="C130" s="182">
        <f>2360+811.5+958.5</f>
        <v>4130</v>
      </c>
      <c r="D130" s="89" t="s">
        <v>164</v>
      </c>
    </row>
    <row r="131" spans="1:4" ht="12.75">
      <c r="A131" s="49" t="s">
        <v>168</v>
      </c>
      <c r="B131" s="36"/>
      <c r="C131" s="36"/>
      <c r="D131" s="45"/>
    </row>
    <row r="132" spans="1:5" ht="12.75">
      <c r="A132" s="54" t="s">
        <v>169</v>
      </c>
      <c r="B132" s="55" t="s">
        <v>170</v>
      </c>
      <c r="C132" s="66" t="s">
        <v>204</v>
      </c>
      <c r="D132" s="68" t="s">
        <v>44</v>
      </c>
      <c r="E132" s="67"/>
    </row>
    <row r="133" spans="1:4" ht="12.75">
      <c r="A133" s="54" t="s">
        <v>172</v>
      </c>
      <c r="B133" s="55" t="s">
        <v>170</v>
      </c>
      <c r="C133" s="178" t="s">
        <v>204</v>
      </c>
      <c r="D133" s="68" t="s">
        <v>616</v>
      </c>
    </row>
    <row r="134" spans="1:4" ht="12.75">
      <c r="A134" s="69" t="s">
        <v>174</v>
      </c>
      <c r="B134" s="55" t="s">
        <v>170</v>
      </c>
      <c r="C134" s="55">
        <v>6</v>
      </c>
      <c r="D134" s="68" t="s">
        <v>175</v>
      </c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4"/>
  </sheetPr>
  <dimension ref="A1:F147"/>
  <sheetViews>
    <sheetView workbookViewId="0" topLeftCell="A112">
      <selection activeCell="A150" sqref="A150"/>
    </sheetView>
  </sheetViews>
  <sheetFormatPr defaultColWidth="9.00390625" defaultRowHeight="12.75"/>
  <cols>
    <col min="1" max="1" width="49.125" style="0" customWidth="1"/>
    <col min="2" max="2" width="9.625" style="0" customWidth="1"/>
    <col min="3" max="3" width="15.625" style="0" customWidth="1"/>
    <col min="4" max="4" width="21.625" style="0" customWidth="1"/>
    <col min="6" max="6" width="10.37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617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618</v>
      </c>
    </row>
    <row r="8" spans="1:3" ht="12.75">
      <c r="A8" t="s">
        <v>7</v>
      </c>
      <c r="C8" s="4" t="s">
        <v>619</v>
      </c>
    </row>
    <row r="9" spans="1:3" ht="12.75">
      <c r="A9" t="s">
        <v>9</v>
      </c>
      <c r="C9" s="7" t="s">
        <v>620</v>
      </c>
    </row>
    <row r="10" ht="12.75">
      <c r="C10" s="7"/>
    </row>
    <row r="11" spans="1:3" ht="12.75">
      <c r="A11" t="s">
        <v>11</v>
      </c>
      <c r="C11" s="7" t="s">
        <v>621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24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71">
        <v>0.8545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917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917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1411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175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525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73">
        <v>917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275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>
        <v>6</v>
      </c>
      <c r="D36" s="16" t="s">
        <v>55</v>
      </c>
    </row>
    <row r="37" spans="1:4" ht="27.75" customHeight="1">
      <c r="A37" s="13" t="s">
        <v>56</v>
      </c>
      <c r="B37" s="17" t="s">
        <v>39</v>
      </c>
      <c r="C37" s="15">
        <v>6</v>
      </c>
      <c r="D37" s="16" t="s">
        <v>57</v>
      </c>
    </row>
    <row r="38" spans="1:4" ht="27.75" customHeight="1">
      <c r="A38" s="13"/>
      <c r="B38" s="17" t="s">
        <v>39</v>
      </c>
      <c r="C38" s="15">
        <v>6</v>
      </c>
      <c r="D38" s="16" t="s">
        <v>58</v>
      </c>
    </row>
    <row r="39" spans="1:4" ht="12.75">
      <c r="A39" s="13" t="s">
        <v>59</v>
      </c>
      <c r="B39" s="17" t="s">
        <v>39</v>
      </c>
      <c r="C39" s="15">
        <v>54</v>
      </c>
      <c r="D39" s="16" t="s">
        <v>60</v>
      </c>
    </row>
    <row r="40" spans="1:4" ht="14.25" customHeight="1">
      <c r="A40" s="13" t="s">
        <v>61</v>
      </c>
      <c r="B40" s="17" t="s">
        <v>39</v>
      </c>
      <c r="C40" s="15">
        <v>1928.8</v>
      </c>
      <c r="D40" s="16" t="s">
        <v>46</v>
      </c>
    </row>
    <row r="41" spans="1:4" ht="27" customHeight="1">
      <c r="A41" s="13" t="s">
        <v>62</v>
      </c>
      <c r="B41" s="17" t="s">
        <v>39</v>
      </c>
      <c r="C41" s="73">
        <v>917</v>
      </c>
      <c r="D41" s="16" t="s">
        <v>53</v>
      </c>
    </row>
    <row r="42" spans="1:4" ht="15" customHeight="1">
      <c r="A42" s="13" t="s">
        <v>63</v>
      </c>
      <c r="B42" s="17" t="s">
        <v>39</v>
      </c>
      <c r="C42" s="15">
        <v>6</v>
      </c>
      <c r="D42" s="16" t="s">
        <v>44</v>
      </c>
    </row>
    <row r="43" spans="1:4" ht="15" customHeight="1">
      <c r="A43" s="13" t="s">
        <v>64</v>
      </c>
      <c r="B43" s="17" t="s">
        <v>39</v>
      </c>
      <c r="C43" s="15">
        <v>241.2</v>
      </c>
      <c r="D43" s="16" t="s">
        <v>44</v>
      </c>
    </row>
    <row r="44" spans="1:4" ht="31.5" customHeight="1">
      <c r="A44" s="13" t="s">
        <v>65</v>
      </c>
      <c r="B44" s="17" t="s">
        <v>39</v>
      </c>
      <c r="C44" s="15">
        <v>114</v>
      </c>
      <c r="D44" s="16" t="s">
        <v>53</v>
      </c>
    </row>
    <row r="45" spans="1:4" ht="15.75" customHeight="1">
      <c r="A45" s="13" t="s">
        <v>66</v>
      </c>
      <c r="B45" s="17" t="s">
        <v>67</v>
      </c>
      <c r="C45" s="15">
        <v>6</v>
      </c>
      <c r="D45" s="16" t="s">
        <v>60</v>
      </c>
    </row>
    <row r="46" spans="1:4" ht="33" customHeight="1">
      <c r="A46" s="13" t="s">
        <v>68</v>
      </c>
      <c r="B46" s="17" t="s">
        <v>67</v>
      </c>
      <c r="C46" s="15">
        <v>6</v>
      </c>
      <c r="D46" s="16" t="s">
        <v>69</v>
      </c>
    </row>
    <row r="47" spans="1:4" ht="17.25" customHeight="1">
      <c r="A47" s="13" t="s">
        <v>70</v>
      </c>
      <c r="B47" s="17" t="s">
        <v>39</v>
      </c>
      <c r="C47" s="15">
        <v>30</v>
      </c>
      <c r="D47" s="16" t="s">
        <v>71</v>
      </c>
    </row>
    <row r="48" spans="1:4" ht="26.25" customHeight="1">
      <c r="A48" s="13" t="s">
        <v>72</v>
      </c>
      <c r="B48" s="17" t="s">
        <v>39</v>
      </c>
      <c r="C48" s="15">
        <f>1*1.88*8*6</f>
        <v>90.24</v>
      </c>
      <c r="D48" s="16" t="s">
        <v>53</v>
      </c>
    </row>
    <row r="49" spans="1:4" ht="17.25" customHeight="1">
      <c r="A49" s="13" t="s">
        <v>73</v>
      </c>
      <c r="B49" s="17" t="s">
        <v>67</v>
      </c>
      <c r="C49" s="15">
        <v>6</v>
      </c>
      <c r="D49" s="16" t="s">
        <v>44</v>
      </c>
    </row>
    <row r="50" spans="1:4" ht="16.5" customHeight="1">
      <c r="A50" s="13" t="s">
        <v>74</v>
      </c>
      <c r="B50" s="17" t="s">
        <v>39</v>
      </c>
      <c r="C50" s="15">
        <v>1822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31.5" customHeight="1">
      <c r="A56" s="13" t="s">
        <v>82</v>
      </c>
      <c r="B56" s="24" t="s">
        <v>79</v>
      </c>
      <c r="C56" s="24"/>
      <c r="D56" s="13" t="s">
        <v>83</v>
      </c>
    </row>
    <row r="57" spans="1:4" ht="30.75" customHeight="1">
      <c r="A57" s="13" t="s">
        <v>84</v>
      </c>
      <c r="B57" s="24" t="s">
        <v>79</v>
      </c>
      <c r="C57" s="24"/>
      <c r="D57" s="13" t="s">
        <v>83</v>
      </c>
    </row>
    <row r="58" spans="1:4" ht="30.75" customHeight="1">
      <c r="A58" s="13" t="s">
        <v>85</v>
      </c>
      <c r="B58" s="24" t="s">
        <v>79</v>
      </c>
      <c r="C58" s="24"/>
      <c r="D58" s="13" t="s">
        <v>86</v>
      </c>
    </row>
    <row r="59" spans="1:4" ht="24" customHeight="1">
      <c r="A59" s="13" t="s">
        <v>87</v>
      </c>
      <c r="B59" s="24" t="s">
        <v>79</v>
      </c>
      <c r="C59" s="24"/>
      <c r="D59" s="13" t="s">
        <v>88</v>
      </c>
    </row>
    <row r="60" spans="1:4" ht="28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8.5" customHeight="1">
      <c r="A62" s="13" t="s">
        <v>91</v>
      </c>
      <c r="B62" s="24" t="s">
        <v>79</v>
      </c>
      <c r="C62" s="24"/>
      <c r="D62" s="13" t="s">
        <v>92</v>
      </c>
    </row>
    <row r="63" spans="1:4" ht="25.5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4" customHeight="1">
      <c r="A65" s="13" t="s">
        <v>96</v>
      </c>
      <c r="B65" s="24" t="s">
        <v>79</v>
      </c>
      <c r="C65" s="24"/>
      <c r="D65" s="13" t="s">
        <v>88</v>
      </c>
    </row>
    <row r="66" spans="1:4" ht="30.75" customHeight="1">
      <c r="A66" s="13" t="s">
        <v>97</v>
      </c>
      <c r="B66" s="24" t="s">
        <v>79</v>
      </c>
      <c r="C66" s="24"/>
      <c r="D66" s="13" t="s">
        <v>98</v>
      </c>
    </row>
    <row r="67" spans="1:4" ht="27.75" customHeight="1">
      <c r="A67" s="13" t="s">
        <v>99</v>
      </c>
      <c r="B67" s="24" t="s">
        <v>79</v>
      </c>
      <c r="C67" s="24"/>
      <c r="D67" s="13" t="s">
        <v>100</v>
      </c>
    </row>
    <row r="68" spans="1:4" ht="27" customHeight="1">
      <c r="A68" s="13" t="s">
        <v>101</v>
      </c>
      <c r="B68" s="24" t="s">
        <v>79</v>
      </c>
      <c r="C68" s="24"/>
      <c r="D68" s="13" t="s">
        <v>88</v>
      </c>
    </row>
    <row r="69" spans="1:4" ht="26.25" customHeight="1">
      <c r="A69" s="13" t="s">
        <v>102</v>
      </c>
      <c r="B69" s="24" t="s">
        <v>79</v>
      </c>
      <c r="C69" s="24"/>
      <c r="D69" s="13" t="s">
        <v>60</v>
      </c>
    </row>
    <row r="70" spans="1:4" ht="26.25" customHeight="1">
      <c r="A70" s="13" t="s">
        <v>103</v>
      </c>
      <c r="B70" s="24" t="s">
        <v>79</v>
      </c>
      <c r="C70" s="24"/>
      <c r="D70" s="13" t="s">
        <v>104</v>
      </c>
    </row>
    <row r="71" spans="1:4" ht="27.7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6.25" customHeight="1">
      <c r="A73" s="13" t="s">
        <v>89</v>
      </c>
      <c r="B73" s="24" t="s">
        <v>79</v>
      </c>
      <c r="C73" s="24"/>
      <c r="D73" s="13" t="s">
        <v>40</v>
      </c>
    </row>
    <row r="74" spans="1:4" ht="27.7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5" ht="27.75" customHeight="1">
      <c r="A76" s="13" t="s">
        <v>111</v>
      </c>
      <c r="B76" s="14" t="s">
        <v>112</v>
      </c>
      <c r="C76" s="15">
        <f>558*1.15*12</f>
        <v>7700.4</v>
      </c>
      <c r="D76" s="74" t="s">
        <v>69</v>
      </c>
      <c r="E76" s="8"/>
    </row>
    <row r="77" spans="1:4" ht="17.25" customHeight="1">
      <c r="A77" s="13" t="s">
        <v>113</v>
      </c>
      <c r="B77" s="33" t="s">
        <v>112</v>
      </c>
      <c r="C77" s="15">
        <f>0.75*6*2*51</f>
        <v>459</v>
      </c>
      <c r="D77" s="74" t="s">
        <v>114</v>
      </c>
    </row>
    <row r="78" spans="1:6" ht="24.75" customHeight="1">
      <c r="A78" s="13" t="s">
        <v>115</v>
      </c>
      <c r="B78" s="14" t="s">
        <v>67</v>
      </c>
      <c r="C78" s="15">
        <v>6</v>
      </c>
      <c r="D78" s="74" t="s">
        <v>116</v>
      </c>
      <c r="F78" s="159"/>
    </row>
    <row r="79" spans="1:4" ht="12.75" customHeight="1">
      <c r="A79" s="18" t="s">
        <v>117</v>
      </c>
      <c r="B79" s="18"/>
      <c r="C79" s="181"/>
      <c r="D79" s="19"/>
    </row>
    <row r="80" spans="1:4" ht="12.75">
      <c r="A80" s="35" t="s">
        <v>118</v>
      </c>
      <c r="B80" s="36"/>
      <c r="C80" s="38"/>
      <c r="D80" s="38"/>
    </row>
    <row r="81" spans="1:4" ht="12.75">
      <c r="A81" s="39" t="s">
        <v>120</v>
      </c>
      <c r="B81" s="40" t="s">
        <v>67</v>
      </c>
      <c r="C81" s="41">
        <f>4+2</f>
        <v>6</v>
      </c>
      <c r="D81" s="42"/>
    </row>
    <row r="82" spans="1:4" ht="12.75">
      <c r="A82" s="39" t="s">
        <v>181</v>
      </c>
      <c r="B82" s="40" t="s">
        <v>67</v>
      </c>
      <c r="C82" s="41">
        <f>1+1</f>
        <v>2</v>
      </c>
      <c r="D82" s="42"/>
    </row>
    <row r="83" spans="1:4" ht="12.75">
      <c r="A83" s="39" t="s">
        <v>526</v>
      </c>
      <c r="B83" s="40" t="s">
        <v>39</v>
      </c>
      <c r="C83" s="41">
        <v>15.5</v>
      </c>
      <c r="D83" s="42"/>
    </row>
    <row r="84" spans="1:4" ht="12.75">
      <c r="A84" s="35" t="s">
        <v>124</v>
      </c>
      <c r="B84" s="36"/>
      <c r="C84" s="36"/>
      <c r="D84" s="45"/>
    </row>
    <row r="85" spans="1:4" ht="12.75">
      <c r="A85" s="39" t="s">
        <v>184</v>
      </c>
      <c r="B85" s="40" t="s">
        <v>39</v>
      </c>
      <c r="C85" s="40">
        <f>0.6</f>
        <v>0.6</v>
      </c>
      <c r="D85" s="42"/>
    </row>
    <row r="86" spans="1:4" ht="12.75">
      <c r="A86" s="39" t="s">
        <v>528</v>
      </c>
      <c r="B86" s="40" t="s">
        <v>39</v>
      </c>
      <c r="C86" s="41">
        <v>0.6</v>
      </c>
      <c r="D86" s="42"/>
    </row>
    <row r="87" spans="1:4" ht="12.75">
      <c r="A87" s="35" t="s">
        <v>467</v>
      </c>
      <c r="B87" s="36"/>
      <c r="C87" s="36"/>
      <c r="D87" s="45"/>
    </row>
    <row r="88" spans="1:4" ht="12.75">
      <c r="A88" s="43" t="s">
        <v>127</v>
      </c>
      <c r="B88" s="46" t="s">
        <v>67</v>
      </c>
      <c r="C88" s="40">
        <f>3+3+2+2+3+2+4+2+4+2+2+2+2+2+4+5</f>
        <v>44</v>
      </c>
      <c r="D88" s="42"/>
    </row>
    <row r="89" spans="1:4" ht="12.75">
      <c r="A89" s="43" t="s">
        <v>185</v>
      </c>
      <c r="B89" s="46" t="s">
        <v>67</v>
      </c>
      <c r="C89" s="41">
        <f>1+1+1+2</f>
        <v>5</v>
      </c>
      <c r="D89" s="42"/>
    </row>
    <row r="90" spans="1:4" ht="12.75">
      <c r="A90" s="43" t="s">
        <v>212</v>
      </c>
      <c r="B90" s="46" t="s">
        <v>67</v>
      </c>
      <c r="C90" s="41">
        <v>6</v>
      </c>
      <c r="D90" s="47" t="s">
        <v>130</v>
      </c>
    </row>
    <row r="91" spans="1:4" ht="12.75">
      <c r="A91" s="43" t="s">
        <v>468</v>
      </c>
      <c r="B91" s="40" t="s">
        <v>67</v>
      </c>
      <c r="C91" s="41">
        <v>6</v>
      </c>
      <c r="D91" s="47" t="s">
        <v>186</v>
      </c>
    </row>
    <row r="92" spans="1:4" ht="12.75">
      <c r="A92" s="43" t="s">
        <v>131</v>
      </c>
      <c r="B92" s="40" t="s">
        <v>67</v>
      </c>
      <c r="C92" s="41">
        <v>6</v>
      </c>
      <c r="D92" s="47" t="s">
        <v>186</v>
      </c>
    </row>
    <row r="93" spans="1:4" ht="12.75">
      <c r="A93" s="43" t="s">
        <v>397</v>
      </c>
      <c r="B93" s="40" t="s">
        <v>39</v>
      </c>
      <c r="C93" s="41">
        <v>0.5</v>
      </c>
      <c r="D93" s="42"/>
    </row>
    <row r="94" spans="1:4" ht="12.75">
      <c r="A94" s="43" t="s">
        <v>470</v>
      </c>
      <c r="B94" s="46" t="s">
        <v>67</v>
      </c>
      <c r="C94" s="41">
        <f>3+2+2+1</f>
        <v>8</v>
      </c>
      <c r="D94" s="42"/>
    </row>
    <row r="95" spans="1:4" ht="12.75">
      <c r="A95" s="43" t="s">
        <v>188</v>
      </c>
      <c r="B95" s="46" t="s">
        <v>67</v>
      </c>
      <c r="C95" s="41">
        <v>4</v>
      </c>
      <c r="D95" s="42"/>
    </row>
    <row r="96" spans="1:4" ht="12.75">
      <c r="A96" s="43" t="s">
        <v>495</v>
      </c>
      <c r="B96" s="40" t="s">
        <v>67</v>
      </c>
      <c r="C96" s="41">
        <f>1+1+2</f>
        <v>4</v>
      </c>
      <c r="D96" s="42"/>
    </row>
    <row r="97" spans="1:4" ht="12.75">
      <c r="A97" s="43" t="s">
        <v>189</v>
      </c>
      <c r="B97" s="40" t="s">
        <v>133</v>
      </c>
      <c r="C97" s="41">
        <f>3+3+6</f>
        <v>12</v>
      </c>
      <c r="D97" s="42"/>
    </row>
    <row r="98" spans="1:4" ht="12.75">
      <c r="A98" s="43" t="s">
        <v>132</v>
      </c>
      <c r="B98" s="40" t="s">
        <v>133</v>
      </c>
      <c r="C98" s="41">
        <f>1+2+2+1</f>
        <v>6</v>
      </c>
      <c r="D98" s="42"/>
    </row>
    <row r="99" spans="1:4" ht="12.75">
      <c r="A99" s="43" t="s">
        <v>190</v>
      </c>
      <c r="B99" s="40" t="s">
        <v>67</v>
      </c>
      <c r="C99" s="41">
        <f>2+1+3</f>
        <v>6</v>
      </c>
      <c r="D99" s="42"/>
    </row>
    <row r="100" spans="1:4" ht="12.75">
      <c r="A100" s="43" t="s">
        <v>134</v>
      </c>
      <c r="B100" s="40" t="s">
        <v>39</v>
      </c>
      <c r="C100" s="41">
        <f>0.7+2.8+1.2+0.8+0.4+2.4+0.4+0.4+0.4+0.4+0.4+0.4+0.4+0.4+0.8+0.8+0.4+0.8+0.8+0.8+0.4+0.8+0.8+0.4+0.8+0.8+0.4+0.8+0.8+2+1.5+1+1.4+0.7+0.3+0.3+0.5+0.3+0.5+0.7+0.7+0.7+1</f>
        <v>33.50000000000001</v>
      </c>
      <c r="D100" s="42"/>
    </row>
    <row r="101" spans="1:4" ht="12.75">
      <c r="A101" s="43" t="s">
        <v>277</v>
      </c>
      <c r="B101" s="40" t="s">
        <v>67</v>
      </c>
      <c r="C101" s="41">
        <f>6+2</f>
        <v>8</v>
      </c>
      <c r="D101" s="42"/>
    </row>
    <row r="102" spans="1:4" ht="12.75">
      <c r="A102" s="43" t="s">
        <v>472</v>
      </c>
      <c r="B102" s="40" t="s">
        <v>67</v>
      </c>
      <c r="C102" s="41">
        <f>2+2+4+2</f>
        <v>10</v>
      </c>
      <c r="D102" s="42"/>
    </row>
    <row r="103" spans="1:4" ht="12.75">
      <c r="A103" s="43" t="s">
        <v>554</v>
      </c>
      <c r="B103" s="40" t="s">
        <v>67</v>
      </c>
      <c r="C103" s="41">
        <f>4+1</f>
        <v>5</v>
      </c>
      <c r="D103" s="42"/>
    </row>
    <row r="104" spans="1:4" ht="12.75">
      <c r="A104" s="43" t="s">
        <v>622</v>
      </c>
      <c r="B104" s="40" t="s">
        <v>122</v>
      </c>
      <c r="C104" s="41">
        <f>1+1+1+1</f>
        <v>4</v>
      </c>
      <c r="D104" s="42"/>
    </row>
    <row r="105" spans="1:4" ht="12.75">
      <c r="A105" s="43" t="s">
        <v>474</v>
      </c>
      <c r="B105" s="40" t="s">
        <v>39</v>
      </c>
      <c r="C105" s="41">
        <f>0.2+0.2+0.3</f>
        <v>0.7</v>
      </c>
      <c r="D105" s="42"/>
    </row>
    <row r="106" spans="1:4" ht="12.75">
      <c r="A106" s="88" t="s">
        <v>623</v>
      </c>
      <c r="B106" s="40" t="s">
        <v>302</v>
      </c>
      <c r="C106" s="40">
        <v>3</v>
      </c>
      <c r="D106" s="42"/>
    </row>
    <row r="107" spans="1:4" ht="12.75">
      <c r="A107" s="88" t="s">
        <v>268</v>
      </c>
      <c r="B107" s="40" t="s">
        <v>67</v>
      </c>
      <c r="C107" s="40">
        <v>6</v>
      </c>
      <c r="D107" s="42"/>
    </row>
    <row r="108" spans="1:4" ht="12.75">
      <c r="A108" s="35" t="s">
        <v>137</v>
      </c>
      <c r="B108" s="48"/>
      <c r="C108" s="36"/>
      <c r="D108" s="45"/>
    </row>
    <row r="109" spans="1:4" ht="12.75">
      <c r="A109" s="39" t="s">
        <v>125</v>
      </c>
      <c r="B109" s="40" t="s">
        <v>67</v>
      </c>
      <c r="C109" s="41">
        <f>1+1</f>
        <v>2</v>
      </c>
      <c r="D109" s="42"/>
    </row>
    <row r="110" spans="1:4" ht="12.75">
      <c r="A110" s="39" t="s">
        <v>142</v>
      </c>
      <c r="B110" s="40" t="s">
        <v>122</v>
      </c>
      <c r="C110" s="41">
        <f>3+1+3+1</f>
        <v>8</v>
      </c>
      <c r="D110" s="42"/>
    </row>
    <row r="111" spans="1:4" ht="12.75">
      <c r="A111" s="39" t="s">
        <v>499</v>
      </c>
      <c r="B111" s="40" t="s">
        <v>122</v>
      </c>
      <c r="C111" s="41">
        <f>1</f>
        <v>1</v>
      </c>
      <c r="D111" s="42"/>
    </row>
    <row r="112" spans="1:4" ht="12.75">
      <c r="A112" s="35" t="s">
        <v>213</v>
      </c>
      <c r="B112" s="36"/>
      <c r="C112" s="36"/>
      <c r="D112" s="45"/>
    </row>
    <row r="113" spans="1:4" ht="12.75">
      <c r="A113" s="80" t="s">
        <v>397</v>
      </c>
      <c r="B113" s="41" t="s">
        <v>39</v>
      </c>
      <c r="C113" s="41">
        <f>1+0.1</f>
        <v>1.1</v>
      </c>
      <c r="D113" s="42"/>
    </row>
    <row r="114" spans="1:4" ht="12.75">
      <c r="A114" s="49" t="s">
        <v>141</v>
      </c>
      <c r="B114" s="36"/>
      <c r="C114" s="36"/>
      <c r="D114" s="45"/>
    </row>
    <row r="115" spans="1:4" ht="12.75">
      <c r="A115" s="51" t="s">
        <v>216</v>
      </c>
      <c r="B115" s="41" t="s">
        <v>67</v>
      </c>
      <c r="C115" s="41">
        <v>3</v>
      </c>
      <c r="D115" s="47" t="s">
        <v>186</v>
      </c>
    </row>
    <row r="116" spans="1:4" ht="12.75">
      <c r="A116" s="51" t="s">
        <v>217</v>
      </c>
      <c r="B116" s="41" t="s">
        <v>67</v>
      </c>
      <c r="C116" s="41">
        <v>1</v>
      </c>
      <c r="D116" s="42"/>
    </row>
    <row r="117" spans="1:4" s="1" customFormat="1" ht="12.75">
      <c r="A117" s="51" t="s">
        <v>242</v>
      </c>
      <c r="B117" s="41" t="s">
        <v>67</v>
      </c>
      <c r="C117" s="41">
        <v>3</v>
      </c>
      <c r="D117" s="47" t="s">
        <v>186</v>
      </c>
    </row>
    <row r="118" spans="1:4" ht="12.75">
      <c r="A118" s="51" t="s">
        <v>218</v>
      </c>
      <c r="B118" s="41" t="s">
        <v>39</v>
      </c>
      <c r="C118" s="41">
        <v>1</v>
      </c>
      <c r="D118" s="42"/>
    </row>
    <row r="119" spans="1:4" ht="12.75">
      <c r="A119" s="39" t="s">
        <v>624</v>
      </c>
      <c r="B119" s="40" t="s">
        <v>67</v>
      </c>
      <c r="C119" s="41">
        <f>1</f>
        <v>1</v>
      </c>
      <c r="D119" s="42"/>
    </row>
    <row r="120" spans="1:4" ht="12.75">
      <c r="A120" s="49" t="s">
        <v>145</v>
      </c>
      <c r="B120" s="36"/>
      <c r="C120" s="36"/>
      <c r="D120" s="45"/>
    </row>
    <row r="121" spans="1:4" ht="12.75">
      <c r="A121" s="52" t="s">
        <v>147</v>
      </c>
      <c r="B121" s="40" t="s">
        <v>67</v>
      </c>
      <c r="C121" s="40">
        <v>9</v>
      </c>
      <c r="D121" s="42"/>
    </row>
    <row r="122" spans="1:4" ht="12.75">
      <c r="A122" s="52" t="s">
        <v>479</v>
      </c>
      <c r="B122" s="40" t="s">
        <v>67</v>
      </c>
      <c r="C122" s="40">
        <v>7</v>
      </c>
      <c r="D122" s="42"/>
    </row>
    <row r="123" spans="1:4" ht="12.75">
      <c r="A123" s="52" t="s">
        <v>149</v>
      </c>
      <c r="B123" s="40" t="s">
        <v>67</v>
      </c>
      <c r="C123" s="40">
        <v>6</v>
      </c>
      <c r="D123" s="42"/>
    </row>
    <row r="124" spans="1:4" s="1" customFormat="1" ht="12.75">
      <c r="A124" s="52" t="s">
        <v>151</v>
      </c>
      <c r="B124" s="41" t="s">
        <v>39</v>
      </c>
      <c r="C124" s="40">
        <v>723</v>
      </c>
      <c r="D124" s="47" t="s">
        <v>130</v>
      </c>
    </row>
    <row r="125" spans="1:4" ht="12.75">
      <c r="A125" s="52" t="s">
        <v>152</v>
      </c>
      <c r="B125" s="41" t="s">
        <v>133</v>
      </c>
      <c r="C125" s="40"/>
      <c r="D125" s="42"/>
    </row>
    <row r="126" spans="1:4" ht="12.75">
      <c r="A126" s="53" t="s">
        <v>153</v>
      </c>
      <c r="B126" s="41" t="s">
        <v>67</v>
      </c>
      <c r="C126" s="40">
        <f>37+61</f>
        <v>98</v>
      </c>
      <c r="D126" s="42"/>
    </row>
    <row r="127" spans="1:4" ht="12.75">
      <c r="A127" s="52" t="s">
        <v>198</v>
      </c>
      <c r="B127" s="41" t="s">
        <v>67</v>
      </c>
      <c r="C127" s="40">
        <f>1</f>
        <v>1</v>
      </c>
      <c r="D127" s="42"/>
    </row>
    <row r="128" spans="1:4" ht="12.75">
      <c r="A128" s="52" t="s">
        <v>154</v>
      </c>
      <c r="B128" s="41" t="s">
        <v>67</v>
      </c>
      <c r="C128" s="40">
        <f>2+7</f>
        <v>9</v>
      </c>
      <c r="D128" s="42"/>
    </row>
    <row r="129" spans="1:4" ht="12.75">
      <c r="A129" s="52" t="s">
        <v>625</v>
      </c>
      <c r="B129" s="41" t="s">
        <v>67</v>
      </c>
      <c r="C129" s="40">
        <v>7</v>
      </c>
      <c r="D129" s="42"/>
    </row>
    <row r="130" spans="1:4" ht="12.75">
      <c r="A130" s="49" t="s">
        <v>157</v>
      </c>
      <c r="B130" s="36"/>
      <c r="C130" s="36"/>
      <c r="D130" s="45"/>
    </row>
    <row r="131" spans="1:4" s="1" customFormat="1" ht="12.75">
      <c r="A131" s="51" t="s">
        <v>158</v>
      </c>
      <c r="B131" s="40" t="s">
        <v>67</v>
      </c>
      <c r="C131" s="41">
        <v>15</v>
      </c>
      <c r="D131" s="47" t="s">
        <v>626</v>
      </c>
    </row>
    <row r="132" spans="1:4" s="1" customFormat="1" ht="12.75">
      <c r="A132" s="80" t="s">
        <v>202</v>
      </c>
      <c r="B132" s="41" t="s">
        <v>67</v>
      </c>
      <c r="C132" s="41">
        <v>360</v>
      </c>
      <c r="D132" s="68" t="s">
        <v>130</v>
      </c>
    </row>
    <row r="133" spans="1:4" s="1" customFormat="1" ht="12.75">
      <c r="A133" s="51" t="s">
        <v>627</v>
      </c>
      <c r="B133" s="40" t="s">
        <v>67</v>
      </c>
      <c r="C133" s="40">
        <v>6</v>
      </c>
      <c r="D133" s="81"/>
    </row>
    <row r="134" spans="1:4" s="1" customFormat="1" ht="12.75">
      <c r="A134" s="80" t="s">
        <v>628</v>
      </c>
      <c r="B134" s="41" t="s">
        <v>39</v>
      </c>
      <c r="C134" s="41">
        <v>1080</v>
      </c>
      <c r="D134" s="68" t="s">
        <v>130</v>
      </c>
    </row>
    <row r="135" spans="1:4" ht="12.75">
      <c r="A135" s="49" t="s">
        <v>161</v>
      </c>
      <c r="B135" s="36"/>
      <c r="C135" s="36"/>
      <c r="D135" s="45"/>
    </row>
    <row r="136" spans="1:4" ht="12.75">
      <c r="A136" s="54" t="s">
        <v>162</v>
      </c>
      <c r="B136" s="55" t="s">
        <v>39</v>
      </c>
      <c r="C136" s="182">
        <v>1822</v>
      </c>
      <c r="D136" s="68" t="s">
        <v>44</v>
      </c>
    </row>
    <row r="137" spans="1:4" ht="12.75">
      <c r="A137" s="54" t="s">
        <v>163</v>
      </c>
      <c r="B137" s="55" t="s">
        <v>39</v>
      </c>
      <c r="C137" s="182">
        <v>1822</v>
      </c>
      <c r="D137" s="89" t="s">
        <v>164</v>
      </c>
    </row>
    <row r="138" spans="1:4" ht="12.75">
      <c r="A138" s="49" t="s">
        <v>165</v>
      </c>
      <c r="B138" s="36"/>
      <c r="C138" s="82"/>
      <c r="D138" s="45"/>
    </row>
    <row r="139" spans="1:4" ht="12.75">
      <c r="A139" s="54" t="s">
        <v>162</v>
      </c>
      <c r="B139" s="55" t="s">
        <v>39</v>
      </c>
      <c r="C139" s="182">
        <f>1822+161.28</f>
        <v>1983.28</v>
      </c>
      <c r="D139" s="68" t="s">
        <v>44</v>
      </c>
    </row>
    <row r="140" spans="1:4" ht="12.75">
      <c r="A140" s="54" t="s">
        <v>163</v>
      </c>
      <c r="B140" s="55" t="s">
        <v>39</v>
      </c>
      <c r="C140" s="182">
        <f>1822+161.28</f>
        <v>1983.28</v>
      </c>
      <c r="D140" s="89" t="s">
        <v>164</v>
      </c>
    </row>
    <row r="141" spans="1:4" ht="12.75">
      <c r="A141" s="49" t="s">
        <v>166</v>
      </c>
      <c r="B141" s="36"/>
      <c r="C141" s="82"/>
      <c r="D141" s="45"/>
    </row>
    <row r="142" spans="1:4" ht="12.75">
      <c r="A142" s="54" t="s">
        <v>162</v>
      </c>
      <c r="B142" s="55" t="s">
        <v>39</v>
      </c>
      <c r="C142" s="182">
        <f>1822+619.2+297.6</f>
        <v>2738.7999999999997</v>
      </c>
      <c r="D142" s="68" t="s">
        <v>175</v>
      </c>
    </row>
    <row r="143" spans="1:4" ht="12.75">
      <c r="A143" s="54" t="s">
        <v>163</v>
      </c>
      <c r="B143" s="55" t="s">
        <v>39</v>
      </c>
      <c r="C143" s="182">
        <f>1822+619.2+297.6</f>
        <v>2738.7999999999997</v>
      </c>
      <c r="D143" s="89" t="s">
        <v>164</v>
      </c>
    </row>
    <row r="144" spans="1:4" ht="12.75">
      <c r="A144" s="49" t="s">
        <v>168</v>
      </c>
      <c r="B144" s="36"/>
      <c r="C144" s="82"/>
      <c r="D144" s="45"/>
    </row>
    <row r="145" spans="1:5" ht="12.75">
      <c r="A145" s="54" t="s">
        <v>169</v>
      </c>
      <c r="B145" s="55" t="s">
        <v>170</v>
      </c>
      <c r="C145" s="66" t="s">
        <v>204</v>
      </c>
      <c r="D145" s="68" t="s">
        <v>44</v>
      </c>
      <c r="E145" s="67"/>
    </row>
    <row r="146" spans="1:4" ht="12.75">
      <c r="A146" s="54" t="s">
        <v>172</v>
      </c>
      <c r="B146" s="55" t="s">
        <v>170</v>
      </c>
      <c r="C146" s="66" t="s">
        <v>204</v>
      </c>
      <c r="D146" s="68" t="s">
        <v>629</v>
      </c>
    </row>
    <row r="147" spans="1:4" ht="12.75">
      <c r="A147" s="69" t="s">
        <v>174</v>
      </c>
      <c r="B147" s="55" t="s">
        <v>170</v>
      </c>
      <c r="C147" s="55">
        <v>6</v>
      </c>
      <c r="D147" s="68" t="s">
        <v>175</v>
      </c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4"/>
  </sheetPr>
  <dimension ref="A1:F126"/>
  <sheetViews>
    <sheetView workbookViewId="0" topLeftCell="A109">
      <selection activeCell="A128" sqref="A128"/>
    </sheetView>
  </sheetViews>
  <sheetFormatPr defaultColWidth="9.00390625" defaultRowHeight="12.75"/>
  <cols>
    <col min="1" max="1" width="49.125" style="0" customWidth="1"/>
    <col min="2" max="2" width="9.375" style="0" customWidth="1"/>
    <col min="3" max="3" width="15.00390625" style="0" customWidth="1"/>
    <col min="4" max="4" width="21.625" style="0" customWidth="1"/>
    <col min="6" max="6" width="11.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630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631</v>
      </c>
    </row>
    <row r="8" spans="1:3" ht="12.75">
      <c r="A8" t="s">
        <v>7</v>
      </c>
      <c r="C8" s="4" t="s">
        <v>632</v>
      </c>
    </row>
    <row r="9" spans="1:3" ht="12.75">
      <c r="A9" t="s">
        <v>9</v>
      </c>
      <c r="C9" s="7" t="s">
        <v>633</v>
      </c>
    </row>
    <row r="10" ht="12.75">
      <c r="C10" s="7"/>
    </row>
    <row r="11" spans="1:3" ht="12.75">
      <c r="A11" t="s">
        <v>11</v>
      </c>
      <c r="C11" s="7" t="s">
        <v>634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24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71">
        <v>0.8915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550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550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1264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19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58.3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15">
        <v>550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152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/>
      <c r="D36" s="16" t="s">
        <v>233</v>
      </c>
    </row>
    <row r="37" spans="1:4" ht="16.5" customHeight="1">
      <c r="A37" s="13" t="s">
        <v>56</v>
      </c>
      <c r="B37" s="17" t="s">
        <v>39</v>
      </c>
      <c r="C37" s="15"/>
      <c r="D37" s="16" t="s">
        <v>233</v>
      </c>
    </row>
    <row r="38" spans="1:4" ht="12.75">
      <c r="A38" s="13" t="s">
        <v>59</v>
      </c>
      <c r="B38" s="17" t="s">
        <v>39</v>
      </c>
      <c r="C38" s="15"/>
      <c r="D38" s="16" t="s">
        <v>233</v>
      </c>
    </row>
    <row r="39" spans="1:4" ht="14.25" customHeight="1">
      <c r="A39" s="13" t="s">
        <v>61</v>
      </c>
      <c r="B39" s="17" t="s">
        <v>39</v>
      </c>
      <c r="C39" s="15">
        <v>1167.2</v>
      </c>
      <c r="D39" s="16" t="s">
        <v>46</v>
      </c>
    </row>
    <row r="40" spans="1:4" ht="27" customHeight="1">
      <c r="A40" s="13" t="s">
        <v>62</v>
      </c>
      <c r="B40" s="17" t="s">
        <v>39</v>
      </c>
      <c r="C40" s="15">
        <v>550</v>
      </c>
      <c r="D40" s="16" t="s">
        <v>53</v>
      </c>
    </row>
    <row r="41" spans="1:4" ht="15" customHeight="1">
      <c r="A41" s="13" t="s">
        <v>63</v>
      </c>
      <c r="B41" s="17" t="s">
        <v>39</v>
      </c>
      <c r="C41" s="15"/>
      <c r="D41" s="16" t="s">
        <v>233</v>
      </c>
    </row>
    <row r="42" spans="1:4" ht="15" customHeight="1">
      <c r="A42" s="13" t="s">
        <v>64</v>
      </c>
      <c r="B42" s="17" t="s">
        <v>39</v>
      </c>
      <c r="C42" s="15">
        <v>111.04</v>
      </c>
      <c r="D42" s="16" t="s">
        <v>44</v>
      </c>
    </row>
    <row r="43" spans="1:4" ht="31.5" customHeight="1">
      <c r="A43" s="13" t="s">
        <v>65</v>
      </c>
      <c r="B43" s="17" t="s">
        <v>39</v>
      </c>
      <c r="C43" s="15">
        <v>76</v>
      </c>
      <c r="D43" s="16" t="s">
        <v>53</v>
      </c>
    </row>
    <row r="44" spans="1:4" ht="15.75" customHeight="1">
      <c r="A44" s="13" t="s">
        <v>66</v>
      </c>
      <c r="B44" s="17" t="s">
        <v>67</v>
      </c>
      <c r="C44" s="15">
        <v>4</v>
      </c>
      <c r="D44" s="16" t="s">
        <v>60</v>
      </c>
    </row>
    <row r="45" spans="1:4" ht="33" customHeight="1">
      <c r="A45" s="13" t="s">
        <v>68</v>
      </c>
      <c r="B45" s="17" t="s">
        <v>67</v>
      </c>
      <c r="C45" s="15">
        <v>4</v>
      </c>
      <c r="D45" s="16" t="s">
        <v>69</v>
      </c>
    </row>
    <row r="46" spans="1:4" ht="17.25" customHeight="1">
      <c r="A46" s="13" t="s">
        <v>70</v>
      </c>
      <c r="B46" s="17" t="s">
        <v>39</v>
      </c>
      <c r="C46" s="15">
        <v>20</v>
      </c>
      <c r="D46" s="16" t="s">
        <v>71</v>
      </c>
    </row>
    <row r="47" spans="1:4" ht="26.25" customHeight="1">
      <c r="A47" s="13" t="s">
        <v>72</v>
      </c>
      <c r="B47" s="17" t="s">
        <v>39</v>
      </c>
      <c r="C47" s="15">
        <f>1*1.88*8*4</f>
        <v>60.16</v>
      </c>
      <c r="D47" s="16" t="s">
        <v>53</v>
      </c>
    </row>
    <row r="48" spans="1:4" ht="17.25" customHeight="1">
      <c r="A48" s="13" t="s">
        <v>73</v>
      </c>
      <c r="B48" s="17" t="s">
        <v>67</v>
      </c>
      <c r="C48" s="15">
        <v>4</v>
      </c>
      <c r="D48" s="16" t="s">
        <v>44</v>
      </c>
    </row>
    <row r="49" spans="1:4" ht="16.5" customHeight="1">
      <c r="A49" s="13" t="s">
        <v>74</v>
      </c>
      <c r="B49" s="17" t="s">
        <v>39</v>
      </c>
      <c r="C49" s="15">
        <v>1167.2</v>
      </c>
      <c r="D49" s="16" t="s">
        <v>60</v>
      </c>
    </row>
    <row r="50" spans="1:4" ht="12.75" customHeight="1">
      <c r="A50" s="189" t="s">
        <v>75</v>
      </c>
      <c r="B50" s="189"/>
      <c r="C50" s="189"/>
      <c r="D50" s="190"/>
    </row>
    <row r="51" spans="1:4" ht="12.75" customHeight="1">
      <c r="A51" s="191" t="s">
        <v>76</v>
      </c>
      <c r="B51" s="191"/>
      <c r="C51" s="191"/>
      <c r="D51" s="192"/>
    </row>
    <row r="52" spans="1:4" ht="12.75" customHeight="1">
      <c r="A52" s="193" t="s">
        <v>77</v>
      </c>
      <c r="B52" s="193"/>
      <c r="C52" s="193"/>
      <c r="D52" s="194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31.5" customHeight="1">
      <c r="A55" s="13" t="s">
        <v>82</v>
      </c>
      <c r="B55" s="24" t="s">
        <v>79</v>
      </c>
      <c r="C55" s="24"/>
      <c r="D55" s="13" t="s">
        <v>83</v>
      </c>
    </row>
    <row r="56" spans="1:4" ht="30.75" customHeight="1">
      <c r="A56" s="13" t="s">
        <v>84</v>
      </c>
      <c r="B56" s="24" t="s">
        <v>79</v>
      </c>
      <c r="C56" s="24"/>
      <c r="D56" s="13" t="s">
        <v>83</v>
      </c>
    </row>
    <row r="57" spans="1:4" ht="30.75" customHeight="1">
      <c r="A57" s="13" t="s">
        <v>85</v>
      </c>
      <c r="B57" s="24" t="s">
        <v>79</v>
      </c>
      <c r="C57" s="24"/>
      <c r="D57" s="13" t="s">
        <v>86</v>
      </c>
    </row>
    <row r="58" spans="1:4" ht="25.5" customHeight="1">
      <c r="A58" s="13" t="s">
        <v>87</v>
      </c>
      <c r="B58" s="24" t="s">
        <v>79</v>
      </c>
      <c r="C58" s="24"/>
      <c r="D58" s="13" t="s">
        <v>88</v>
      </c>
    </row>
    <row r="59" spans="1:4" ht="28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8.5" customHeight="1">
      <c r="A61" s="13" t="s">
        <v>91</v>
      </c>
      <c r="B61" s="24" t="s">
        <v>79</v>
      </c>
      <c r="C61" s="24"/>
      <c r="D61" s="13" t="s">
        <v>92</v>
      </c>
    </row>
    <row r="62" spans="1:4" ht="24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6.25" customHeight="1">
      <c r="A64" s="13" t="s">
        <v>96</v>
      </c>
      <c r="B64" s="24" t="s">
        <v>79</v>
      </c>
      <c r="C64" s="24"/>
      <c r="D64" s="13" t="s">
        <v>88</v>
      </c>
    </row>
    <row r="65" spans="1:4" ht="30.75" customHeight="1">
      <c r="A65" s="13" t="s">
        <v>97</v>
      </c>
      <c r="B65" s="24" t="s">
        <v>79</v>
      </c>
      <c r="C65" s="24"/>
      <c r="D65" s="13" t="s">
        <v>98</v>
      </c>
    </row>
    <row r="66" spans="1:4" ht="27.75" customHeight="1">
      <c r="A66" s="13" t="s">
        <v>99</v>
      </c>
      <c r="B66" s="24" t="s">
        <v>79</v>
      </c>
      <c r="C66" s="24"/>
      <c r="D66" s="13" t="s">
        <v>100</v>
      </c>
    </row>
    <row r="67" spans="1:4" ht="24.75" customHeight="1">
      <c r="A67" s="13" t="s">
        <v>101</v>
      </c>
      <c r="B67" s="24" t="s">
        <v>79</v>
      </c>
      <c r="C67" s="24"/>
      <c r="D67" s="13" t="s">
        <v>88</v>
      </c>
    </row>
    <row r="68" spans="1:4" ht="24.75" customHeight="1">
      <c r="A68" s="13" t="s">
        <v>102</v>
      </c>
      <c r="B68" s="24" t="s">
        <v>79</v>
      </c>
      <c r="C68" s="24"/>
      <c r="D68" s="13" t="s">
        <v>60</v>
      </c>
    </row>
    <row r="69" spans="1:4" ht="24.75" customHeight="1">
      <c r="A69" s="13" t="s">
        <v>103</v>
      </c>
      <c r="B69" s="24" t="s">
        <v>79</v>
      </c>
      <c r="C69" s="24"/>
      <c r="D69" s="13" t="s">
        <v>104</v>
      </c>
    </row>
    <row r="70" spans="1:4" ht="27.7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5.5" customHeight="1">
      <c r="A72" s="13" t="s">
        <v>89</v>
      </c>
      <c r="B72" s="24" t="s">
        <v>79</v>
      </c>
      <c r="C72" s="24"/>
      <c r="D72" s="13" t="s">
        <v>40</v>
      </c>
    </row>
    <row r="73" spans="1:4" ht="27.7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5" ht="27.75" customHeight="1">
      <c r="A75" s="13" t="s">
        <v>111</v>
      </c>
      <c r="B75" s="14" t="s">
        <v>112</v>
      </c>
      <c r="C75" s="15">
        <f>226*1.15*12</f>
        <v>3118.7999999999997</v>
      </c>
      <c r="D75" s="74" t="s">
        <v>69</v>
      </c>
      <c r="E75" s="8"/>
    </row>
    <row r="76" spans="1:4" ht="17.25" customHeight="1">
      <c r="A76" s="13" t="s">
        <v>113</v>
      </c>
      <c r="B76" s="33" t="s">
        <v>112</v>
      </c>
      <c r="C76" s="15">
        <f>0.75*4*2*51</f>
        <v>306</v>
      </c>
      <c r="D76" s="74" t="s">
        <v>114</v>
      </c>
    </row>
    <row r="77" spans="1:6" ht="24.75" customHeight="1">
      <c r="A77" s="13" t="s">
        <v>115</v>
      </c>
      <c r="B77" s="14" t="s">
        <v>67</v>
      </c>
      <c r="C77" s="15">
        <v>4</v>
      </c>
      <c r="D77" s="74" t="s">
        <v>116</v>
      </c>
      <c r="F77" s="159"/>
    </row>
    <row r="78" spans="1:4" ht="12.75" customHeight="1">
      <c r="A78" s="18" t="s">
        <v>117</v>
      </c>
      <c r="B78" s="18"/>
      <c r="C78" s="181"/>
      <c r="D78" s="190"/>
    </row>
    <row r="79" spans="1:4" ht="12.75">
      <c r="A79" s="35" t="s">
        <v>118</v>
      </c>
      <c r="B79" s="36"/>
      <c r="C79" s="38"/>
      <c r="D79" s="38"/>
    </row>
    <row r="80" spans="1:4" ht="12.75">
      <c r="A80" s="39" t="s">
        <v>119</v>
      </c>
      <c r="B80" s="40" t="s">
        <v>39</v>
      </c>
      <c r="C80" s="40">
        <v>8</v>
      </c>
      <c r="D80" s="96"/>
    </row>
    <row r="81" spans="1:4" ht="12.75">
      <c r="A81" s="39" t="s">
        <v>493</v>
      </c>
      <c r="B81" s="40" t="s">
        <v>67</v>
      </c>
      <c r="C81" s="40">
        <f>5+7</f>
        <v>12</v>
      </c>
      <c r="D81" s="96"/>
    </row>
    <row r="82" spans="1:4" ht="12.75">
      <c r="A82" s="43" t="s">
        <v>602</v>
      </c>
      <c r="B82" s="41" t="s">
        <v>122</v>
      </c>
      <c r="C82" s="40">
        <f>1</f>
        <v>1</v>
      </c>
      <c r="D82" s="96"/>
    </row>
    <row r="83" spans="1:4" ht="12.75">
      <c r="A83" s="43" t="s">
        <v>530</v>
      </c>
      <c r="B83" s="41" t="s">
        <v>67</v>
      </c>
      <c r="C83" s="40">
        <f>1</f>
        <v>1</v>
      </c>
      <c r="D83" s="96"/>
    </row>
    <row r="84" spans="1:4" ht="12.75">
      <c r="A84" s="35" t="s">
        <v>467</v>
      </c>
      <c r="B84" s="36"/>
      <c r="C84" s="36"/>
      <c r="D84" s="45"/>
    </row>
    <row r="85" spans="1:4" ht="12.75">
      <c r="A85" s="43" t="s">
        <v>127</v>
      </c>
      <c r="B85" s="46" t="s">
        <v>67</v>
      </c>
      <c r="C85" s="41">
        <f>1+2+2</f>
        <v>5</v>
      </c>
      <c r="D85" s="96"/>
    </row>
    <row r="86" spans="1:4" ht="12.75">
      <c r="A86" s="43" t="s">
        <v>125</v>
      </c>
      <c r="B86" s="46" t="s">
        <v>67</v>
      </c>
      <c r="C86" s="41">
        <v>4</v>
      </c>
      <c r="D86" s="68" t="s">
        <v>130</v>
      </c>
    </row>
    <row r="87" spans="1:4" ht="12.75">
      <c r="A87" s="43" t="s">
        <v>468</v>
      </c>
      <c r="B87" s="40" t="s">
        <v>67</v>
      </c>
      <c r="C87" s="41">
        <v>4</v>
      </c>
      <c r="D87" s="68" t="s">
        <v>130</v>
      </c>
    </row>
    <row r="88" spans="1:4" ht="12.75">
      <c r="A88" s="43" t="s">
        <v>131</v>
      </c>
      <c r="B88" s="40" t="s">
        <v>67</v>
      </c>
      <c r="C88" s="41">
        <f>2+2</f>
        <v>4</v>
      </c>
      <c r="D88" s="96"/>
    </row>
    <row r="89" spans="1:4" ht="12.75">
      <c r="A89" s="43" t="s">
        <v>189</v>
      </c>
      <c r="B89" s="40" t="s">
        <v>133</v>
      </c>
      <c r="C89" s="41">
        <f>2+1</f>
        <v>3</v>
      </c>
      <c r="D89" s="96"/>
    </row>
    <row r="90" spans="1:4" ht="12.75">
      <c r="A90" s="43" t="s">
        <v>190</v>
      </c>
      <c r="B90" s="40" t="s">
        <v>67</v>
      </c>
      <c r="C90" s="41">
        <v>1</v>
      </c>
      <c r="D90" s="96"/>
    </row>
    <row r="91" spans="1:4" ht="12.75">
      <c r="A91" s="43" t="s">
        <v>134</v>
      </c>
      <c r="B91" s="40" t="s">
        <v>39</v>
      </c>
      <c r="C91" s="41">
        <f>0.8+0.8+1.05+1.05+0.8+0.4+4+2</f>
        <v>10.9</v>
      </c>
      <c r="D91" s="96"/>
    </row>
    <row r="92" spans="1:4" ht="12.75">
      <c r="A92" s="88" t="s">
        <v>268</v>
      </c>
      <c r="B92" s="40" t="s">
        <v>67</v>
      </c>
      <c r="C92" s="40">
        <v>4</v>
      </c>
      <c r="D92" s="96"/>
    </row>
    <row r="93" spans="1:4" ht="12.75">
      <c r="A93" s="35" t="s">
        <v>137</v>
      </c>
      <c r="B93" s="48"/>
      <c r="C93" s="36"/>
      <c r="D93" s="45"/>
    </row>
    <row r="94" spans="1:4" ht="12.75">
      <c r="A94" s="39" t="s">
        <v>125</v>
      </c>
      <c r="B94" s="40" t="s">
        <v>67</v>
      </c>
      <c r="C94" s="41">
        <f>1+1+1</f>
        <v>3</v>
      </c>
      <c r="D94" s="96"/>
    </row>
    <row r="95" spans="1:4" ht="12.75">
      <c r="A95" s="39" t="s">
        <v>142</v>
      </c>
      <c r="B95" s="40" t="s">
        <v>122</v>
      </c>
      <c r="C95" s="41">
        <f>2+1+1</f>
        <v>4</v>
      </c>
      <c r="D95" s="96"/>
    </row>
    <row r="96" spans="1:4" ht="12.75">
      <c r="A96" s="39" t="s">
        <v>499</v>
      </c>
      <c r="B96" s="40" t="s">
        <v>122</v>
      </c>
      <c r="C96" s="40">
        <v>1</v>
      </c>
      <c r="D96" s="96"/>
    </row>
    <row r="97" spans="1:4" ht="12.75">
      <c r="A97" s="39" t="s">
        <v>476</v>
      </c>
      <c r="B97" s="40" t="s">
        <v>122</v>
      </c>
      <c r="C97" s="40">
        <v>3</v>
      </c>
      <c r="D97" s="96"/>
    </row>
    <row r="98" spans="1:4" ht="12.75">
      <c r="A98" s="49" t="s">
        <v>141</v>
      </c>
      <c r="B98" s="36"/>
      <c r="C98" s="36"/>
      <c r="D98" s="45"/>
    </row>
    <row r="99" spans="1:4" ht="12.75">
      <c r="A99" s="51" t="s">
        <v>279</v>
      </c>
      <c r="B99" s="41" t="s">
        <v>67</v>
      </c>
      <c r="C99" s="41">
        <f>1+1+1</f>
        <v>3</v>
      </c>
      <c r="D99" s="96"/>
    </row>
    <row r="100" spans="1:4" ht="12.75">
      <c r="A100" s="51" t="s">
        <v>217</v>
      </c>
      <c r="B100" s="41" t="s">
        <v>67</v>
      </c>
      <c r="C100" s="41">
        <f>1</f>
        <v>1</v>
      </c>
      <c r="D100" s="96"/>
    </row>
    <row r="101" spans="1:4" s="1" customFormat="1" ht="12.75">
      <c r="A101" s="51" t="s">
        <v>242</v>
      </c>
      <c r="B101" s="41" t="s">
        <v>67</v>
      </c>
      <c r="C101" s="41">
        <v>2</v>
      </c>
      <c r="D101" s="68" t="s">
        <v>130</v>
      </c>
    </row>
    <row r="102" spans="1:4" ht="12.75">
      <c r="A102" s="51" t="s">
        <v>218</v>
      </c>
      <c r="B102" s="41" t="s">
        <v>39</v>
      </c>
      <c r="C102" s="41">
        <v>4</v>
      </c>
      <c r="D102" s="96"/>
    </row>
    <row r="103" spans="1:4" ht="12.75">
      <c r="A103" s="49" t="s">
        <v>145</v>
      </c>
      <c r="B103" s="36"/>
      <c r="C103" s="36"/>
      <c r="D103" s="45"/>
    </row>
    <row r="104" spans="1:4" ht="12.75">
      <c r="A104" s="52" t="s">
        <v>194</v>
      </c>
      <c r="B104" s="41" t="s">
        <v>133</v>
      </c>
      <c r="C104" s="40">
        <f>10+3</f>
        <v>13</v>
      </c>
      <c r="D104" s="96"/>
    </row>
    <row r="105" spans="1:4" ht="12.75">
      <c r="A105" s="52" t="s">
        <v>148</v>
      </c>
      <c r="B105" s="40" t="s">
        <v>67</v>
      </c>
      <c r="C105" s="40">
        <v>4</v>
      </c>
      <c r="D105" s="96"/>
    </row>
    <row r="106" spans="1:4" ht="12.75">
      <c r="A106" s="52" t="s">
        <v>149</v>
      </c>
      <c r="B106" s="40" t="s">
        <v>67</v>
      </c>
      <c r="C106" s="40">
        <v>4</v>
      </c>
      <c r="D106" s="96"/>
    </row>
    <row r="107" spans="1:4" s="1" customFormat="1" ht="12.75">
      <c r="A107" s="80" t="s">
        <v>151</v>
      </c>
      <c r="B107" s="41" t="s">
        <v>39</v>
      </c>
      <c r="C107" s="41">
        <v>2680</v>
      </c>
      <c r="D107" s="68" t="s">
        <v>130</v>
      </c>
    </row>
    <row r="108" spans="1:4" ht="12.75">
      <c r="A108" s="52" t="s">
        <v>197</v>
      </c>
      <c r="B108" s="41" t="s">
        <v>67</v>
      </c>
      <c r="C108" s="40">
        <f>3</f>
        <v>3</v>
      </c>
      <c r="D108" s="96"/>
    </row>
    <row r="109" spans="1:4" ht="12.75">
      <c r="A109" s="52" t="s">
        <v>152</v>
      </c>
      <c r="B109" s="41" t="s">
        <v>133</v>
      </c>
      <c r="C109" s="40"/>
      <c r="D109" s="96"/>
    </row>
    <row r="110" spans="1:4" ht="12.75">
      <c r="A110" s="53" t="s">
        <v>153</v>
      </c>
      <c r="B110" s="41" t="s">
        <v>67</v>
      </c>
      <c r="C110" s="40">
        <f>28+41</f>
        <v>69</v>
      </c>
      <c r="D110" s="96"/>
    </row>
    <row r="111" spans="1:4" ht="12.75">
      <c r="A111" s="52" t="s">
        <v>595</v>
      </c>
      <c r="B111" s="41" t="s">
        <v>67</v>
      </c>
      <c r="C111" s="40">
        <f>4</f>
        <v>4</v>
      </c>
      <c r="D111" s="96"/>
    </row>
    <row r="112" spans="1:4" ht="12.75">
      <c r="A112" s="52" t="s">
        <v>154</v>
      </c>
      <c r="B112" s="41" t="s">
        <v>67</v>
      </c>
      <c r="C112" s="40">
        <f>1</f>
        <v>1</v>
      </c>
      <c r="D112" s="96"/>
    </row>
    <row r="113" spans="1:4" s="1" customFormat="1" ht="12.75">
      <c r="A113" s="80" t="s">
        <v>635</v>
      </c>
      <c r="B113" s="41" t="s">
        <v>67</v>
      </c>
      <c r="C113" s="41">
        <v>1</v>
      </c>
      <c r="D113" s="68"/>
    </row>
    <row r="114" spans="1:4" ht="12.75">
      <c r="A114" s="49" t="s">
        <v>157</v>
      </c>
      <c r="B114" s="36"/>
      <c r="C114" s="36"/>
      <c r="D114" s="45"/>
    </row>
    <row r="115" spans="1:4" s="1" customFormat="1" ht="12.75">
      <c r="A115" s="80" t="s">
        <v>158</v>
      </c>
      <c r="B115" s="41" t="s">
        <v>67</v>
      </c>
      <c r="C115" s="41">
        <v>12</v>
      </c>
      <c r="D115" s="68" t="s">
        <v>290</v>
      </c>
    </row>
    <row r="116" spans="1:4" s="1" customFormat="1" ht="12.75">
      <c r="A116" s="80" t="s">
        <v>202</v>
      </c>
      <c r="B116" s="41" t="s">
        <v>39</v>
      </c>
      <c r="C116" s="41">
        <v>144</v>
      </c>
      <c r="D116" s="44"/>
    </row>
    <row r="117" spans="1:4" ht="12.75">
      <c r="A117" s="51" t="s">
        <v>247</v>
      </c>
      <c r="B117" s="40" t="s">
        <v>67</v>
      </c>
      <c r="C117" s="40">
        <v>4</v>
      </c>
      <c r="D117" s="96"/>
    </row>
    <row r="118" spans="1:4" ht="12.75">
      <c r="A118" s="49" t="s">
        <v>161</v>
      </c>
      <c r="B118" s="36"/>
      <c r="C118" s="36"/>
      <c r="D118" s="62"/>
    </row>
    <row r="119" spans="1:4" ht="12.75">
      <c r="A119" s="54" t="s">
        <v>162</v>
      </c>
      <c r="B119" s="55" t="s">
        <v>39</v>
      </c>
      <c r="C119" s="182">
        <v>1167.2</v>
      </c>
      <c r="D119" s="68" t="s">
        <v>44</v>
      </c>
    </row>
    <row r="120" spans="1:4" ht="12.75">
      <c r="A120" s="54" t="s">
        <v>163</v>
      </c>
      <c r="B120" s="55" t="s">
        <v>39</v>
      </c>
      <c r="C120" s="182">
        <v>1167.2</v>
      </c>
      <c r="D120" s="89" t="s">
        <v>164</v>
      </c>
    </row>
    <row r="121" spans="1:4" ht="12.75">
      <c r="A121" s="49" t="s">
        <v>165</v>
      </c>
      <c r="B121" s="38"/>
      <c r="C121" s="36"/>
      <c r="D121" s="62"/>
    </row>
    <row r="122" spans="1:4" ht="12.75">
      <c r="A122" s="54" t="s">
        <v>162</v>
      </c>
      <c r="B122" s="55" t="s">
        <v>39</v>
      </c>
      <c r="C122" s="182">
        <f>1167.2+107.52</f>
        <v>1274.72</v>
      </c>
      <c r="D122" s="68" t="s">
        <v>44</v>
      </c>
    </row>
    <row r="123" spans="1:4" ht="12.75">
      <c r="A123" s="54" t="s">
        <v>163</v>
      </c>
      <c r="B123" s="55" t="s">
        <v>39</v>
      </c>
      <c r="C123" s="182">
        <f>1167.2+107.52</f>
        <v>1274.72</v>
      </c>
      <c r="D123" s="89" t="s">
        <v>164</v>
      </c>
    </row>
    <row r="124" spans="1:4" ht="12.75">
      <c r="A124" s="49" t="s">
        <v>166</v>
      </c>
      <c r="B124" s="38"/>
      <c r="C124" s="36"/>
      <c r="D124" s="62"/>
    </row>
    <row r="125" spans="1:4" ht="12.75">
      <c r="A125" s="54" t="s">
        <v>162</v>
      </c>
      <c r="B125" s="55" t="s">
        <v>39</v>
      </c>
      <c r="C125" s="182">
        <f>1167.2+190.8+375.7</f>
        <v>1733.7</v>
      </c>
      <c r="D125" s="68" t="s">
        <v>175</v>
      </c>
    </row>
    <row r="126" spans="1:4" ht="12.75">
      <c r="A126" s="54" t="s">
        <v>163</v>
      </c>
      <c r="B126" s="55" t="s">
        <v>39</v>
      </c>
      <c r="C126" s="182">
        <f>1167.2+190.8+375.7</f>
        <v>1733.7</v>
      </c>
      <c r="D126" s="89" t="s">
        <v>164</v>
      </c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4"/>
  </sheetPr>
  <dimension ref="A1:F151"/>
  <sheetViews>
    <sheetView workbookViewId="0" topLeftCell="A130">
      <selection activeCell="A154" sqref="A154"/>
    </sheetView>
  </sheetViews>
  <sheetFormatPr defaultColWidth="9.00390625" defaultRowHeight="12.75"/>
  <cols>
    <col min="1" max="1" width="49.125" style="0" customWidth="1"/>
    <col min="2" max="2" width="9.25390625" style="0" customWidth="1"/>
    <col min="3" max="3" width="14.875" style="0" customWidth="1"/>
    <col min="4" max="4" width="22.00390625" style="0" customWidth="1"/>
    <col min="6" max="6" width="10.1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636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637</v>
      </c>
    </row>
    <row r="8" spans="1:3" ht="12.75">
      <c r="A8" t="s">
        <v>7</v>
      </c>
      <c r="C8" s="4" t="s">
        <v>638</v>
      </c>
    </row>
    <row r="9" spans="1:3" ht="12.75">
      <c r="A9" t="s">
        <v>9</v>
      </c>
      <c r="C9" s="7" t="s">
        <v>639</v>
      </c>
    </row>
    <row r="10" ht="12.75">
      <c r="C10" s="7"/>
    </row>
    <row r="11" spans="1:3" ht="12.75">
      <c r="A11" t="s">
        <v>11</v>
      </c>
      <c r="C11" s="7" t="s">
        <v>640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24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spans="1:3" ht="12.75">
      <c r="A23" s="1"/>
      <c r="B23" s="1"/>
      <c r="C23" s="7"/>
    </row>
    <row r="24" spans="1:3" ht="12.75">
      <c r="A24" t="s">
        <v>32</v>
      </c>
      <c r="C24" s="71">
        <v>0.9067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885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885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4305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146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438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15">
        <v>885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1327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>
        <v>5</v>
      </c>
      <c r="D36" s="16" t="s">
        <v>55</v>
      </c>
    </row>
    <row r="37" spans="1:4" ht="27.75" customHeight="1">
      <c r="A37" s="13" t="s">
        <v>56</v>
      </c>
      <c r="B37" s="17" t="s">
        <v>39</v>
      </c>
      <c r="C37" s="15">
        <v>5</v>
      </c>
      <c r="D37" s="16" t="s">
        <v>57</v>
      </c>
    </row>
    <row r="38" spans="1:4" ht="27.75" customHeight="1">
      <c r="A38" s="13"/>
      <c r="B38" s="17" t="s">
        <v>39</v>
      </c>
      <c r="C38" s="15">
        <v>5</v>
      </c>
      <c r="D38" s="16" t="s">
        <v>58</v>
      </c>
    </row>
    <row r="39" spans="1:4" ht="12.75">
      <c r="A39" s="13" t="s">
        <v>59</v>
      </c>
      <c r="B39" s="17" t="s">
        <v>39</v>
      </c>
      <c r="C39" s="15">
        <v>45</v>
      </c>
      <c r="D39" s="16" t="s">
        <v>60</v>
      </c>
    </row>
    <row r="40" spans="1:4" ht="14.25" customHeight="1">
      <c r="A40" s="13" t="s">
        <v>61</v>
      </c>
      <c r="B40" s="17" t="s">
        <v>39</v>
      </c>
      <c r="C40" s="15">
        <v>1589.4</v>
      </c>
      <c r="D40" s="16" t="s">
        <v>46</v>
      </c>
    </row>
    <row r="41" spans="1:4" ht="27" customHeight="1">
      <c r="A41" s="13" t="s">
        <v>62</v>
      </c>
      <c r="B41" s="17" t="s">
        <v>39</v>
      </c>
      <c r="C41" s="73">
        <v>885</v>
      </c>
      <c r="D41" s="16" t="s">
        <v>53</v>
      </c>
    </row>
    <row r="42" spans="1:4" ht="15" customHeight="1">
      <c r="A42" s="13" t="s">
        <v>63</v>
      </c>
      <c r="B42" s="17" t="s">
        <v>39</v>
      </c>
      <c r="C42" s="15">
        <v>5</v>
      </c>
      <c r="D42" s="16" t="s">
        <v>44</v>
      </c>
    </row>
    <row r="43" spans="1:4" ht="15" customHeight="1">
      <c r="A43" s="13" t="s">
        <v>64</v>
      </c>
      <c r="B43" s="17" t="s">
        <v>39</v>
      </c>
      <c r="C43" s="15">
        <v>201</v>
      </c>
      <c r="D43" s="16" t="s">
        <v>44</v>
      </c>
    </row>
    <row r="44" spans="1:4" ht="31.5" customHeight="1">
      <c r="A44" s="13" t="s">
        <v>65</v>
      </c>
      <c r="B44" s="17" t="s">
        <v>39</v>
      </c>
      <c r="C44" s="15">
        <v>95</v>
      </c>
      <c r="D44" s="16" t="s">
        <v>53</v>
      </c>
    </row>
    <row r="45" spans="1:4" ht="15.75" customHeight="1">
      <c r="A45" s="13" t="s">
        <v>66</v>
      </c>
      <c r="B45" s="17" t="s">
        <v>67</v>
      </c>
      <c r="C45" s="15">
        <v>5</v>
      </c>
      <c r="D45" s="16" t="s">
        <v>60</v>
      </c>
    </row>
    <row r="46" spans="1:4" ht="33" customHeight="1">
      <c r="A46" s="13" t="s">
        <v>68</v>
      </c>
      <c r="B46" s="17" t="s">
        <v>67</v>
      </c>
      <c r="C46" s="15">
        <v>5</v>
      </c>
      <c r="D46" s="16" t="s">
        <v>69</v>
      </c>
    </row>
    <row r="47" spans="1:4" ht="17.25" customHeight="1">
      <c r="A47" s="13" t="s">
        <v>70</v>
      </c>
      <c r="B47" s="17" t="s">
        <v>39</v>
      </c>
      <c r="C47" s="15">
        <v>25</v>
      </c>
      <c r="D47" s="16" t="s">
        <v>71</v>
      </c>
    </row>
    <row r="48" spans="1:4" ht="26.25" customHeight="1">
      <c r="A48" s="13" t="s">
        <v>72</v>
      </c>
      <c r="B48" s="17" t="s">
        <v>39</v>
      </c>
      <c r="C48" s="15">
        <f>1*1.88*8*5</f>
        <v>75.19999999999999</v>
      </c>
      <c r="D48" s="16" t="s">
        <v>53</v>
      </c>
    </row>
    <row r="49" spans="1:4" ht="17.25" customHeight="1">
      <c r="A49" s="13" t="s">
        <v>73</v>
      </c>
      <c r="B49" s="17" t="s">
        <v>67</v>
      </c>
      <c r="C49" s="15">
        <v>5</v>
      </c>
      <c r="D49" s="16" t="s">
        <v>44</v>
      </c>
    </row>
    <row r="50" spans="1:4" ht="16.5" customHeight="1">
      <c r="A50" s="13" t="s">
        <v>74</v>
      </c>
      <c r="B50" s="17" t="s">
        <v>39</v>
      </c>
      <c r="C50" s="15">
        <v>1500.4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31.5" customHeight="1">
      <c r="A56" s="13" t="s">
        <v>82</v>
      </c>
      <c r="B56" s="24" t="s">
        <v>79</v>
      </c>
      <c r="C56" s="24"/>
      <c r="D56" s="13" t="s">
        <v>83</v>
      </c>
    </row>
    <row r="57" spans="1:4" ht="30.75" customHeight="1">
      <c r="A57" s="13" t="s">
        <v>84</v>
      </c>
      <c r="B57" s="24" t="s">
        <v>79</v>
      </c>
      <c r="C57" s="24"/>
      <c r="D57" s="13" t="s">
        <v>83</v>
      </c>
    </row>
    <row r="58" spans="1:4" ht="30.75" customHeight="1">
      <c r="A58" s="13" t="s">
        <v>85</v>
      </c>
      <c r="B58" s="24" t="s">
        <v>79</v>
      </c>
      <c r="C58" s="24"/>
      <c r="D58" s="13" t="s">
        <v>86</v>
      </c>
    </row>
    <row r="59" spans="1:4" ht="25.5" customHeight="1">
      <c r="A59" s="13" t="s">
        <v>87</v>
      </c>
      <c r="B59" s="24" t="s">
        <v>79</v>
      </c>
      <c r="C59" s="24"/>
      <c r="D59" s="13" t="s">
        <v>88</v>
      </c>
    </row>
    <row r="60" spans="1:4" ht="28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8.5" customHeight="1">
      <c r="A62" s="13" t="s">
        <v>91</v>
      </c>
      <c r="B62" s="24" t="s">
        <v>79</v>
      </c>
      <c r="C62" s="24"/>
      <c r="D62" s="13" t="s">
        <v>92</v>
      </c>
    </row>
    <row r="63" spans="1:4" ht="25.5" customHeight="1">
      <c r="A63" s="13" t="s">
        <v>93</v>
      </c>
      <c r="B63" s="24" t="s">
        <v>79</v>
      </c>
      <c r="C63" s="24"/>
      <c r="D63" s="86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5.5" customHeight="1">
      <c r="A65" s="13" t="s">
        <v>96</v>
      </c>
      <c r="B65" s="24" t="s">
        <v>79</v>
      </c>
      <c r="C65" s="24"/>
      <c r="D65" s="13" t="s">
        <v>88</v>
      </c>
    </row>
    <row r="66" spans="1:4" ht="30.75" customHeight="1">
      <c r="A66" s="13" t="s">
        <v>97</v>
      </c>
      <c r="B66" s="24" t="s">
        <v>79</v>
      </c>
      <c r="C66" s="24"/>
      <c r="D66" s="13" t="s">
        <v>98</v>
      </c>
    </row>
    <row r="67" spans="1:4" ht="27.75" customHeight="1">
      <c r="A67" s="13" t="s">
        <v>99</v>
      </c>
      <c r="B67" s="24" t="s">
        <v>79</v>
      </c>
      <c r="C67" s="24"/>
      <c r="D67" s="13" t="s">
        <v>100</v>
      </c>
    </row>
    <row r="68" spans="1:4" ht="24" customHeight="1">
      <c r="A68" s="13" t="s">
        <v>101</v>
      </c>
      <c r="B68" s="24" t="s">
        <v>79</v>
      </c>
      <c r="C68" s="24"/>
      <c r="D68" s="13" t="s">
        <v>88</v>
      </c>
    </row>
    <row r="69" spans="1:4" ht="26.25" customHeight="1">
      <c r="A69" s="13" t="s">
        <v>102</v>
      </c>
      <c r="B69" s="24" t="s">
        <v>79</v>
      </c>
      <c r="C69" s="24"/>
      <c r="D69" s="13" t="s">
        <v>60</v>
      </c>
    </row>
    <row r="70" spans="1:4" ht="26.25" customHeight="1">
      <c r="A70" s="13" t="s">
        <v>103</v>
      </c>
      <c r="B70" s="24" t="s">
        <v>79</v>
      </c>
      <c r="C70" s="24"/>
      <c r="D70" s="13" t="s">
        <v>104</v>
      </c>
    </row>
    <row r="71" spans="1:4" ht="27.7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7" customHeight="1">
      <c r="A73" s="13" t="s">
        <v>89</v>
      </c>
      <c r="B73" s="24" t="s">
        <v>79</v>
      </c>
      <c r="C73" s="24"/>
      <c r="D73" s="13" t="s">
        <v>40</v>
      </c>
    </row>
    <row r="74" spans="1:4" ht="27.7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5" ht="27.75" customHeight="1">
      <c r="A76" s="13" t="s">
        <v>111</v>
      </c>
      <c r="B76" s="14" t="s">
        <v>112</v>
      </c>
      <c r="C76" s="15">
        <f>506*1.15*12</f>
        <v>6982.799999999999</v>
      </c>
      <c r="D76" s="32" t="s">
        <v>69</v>
      </c>
      <c r="E76" s="8"/>
    </row>
    <row r="77" spans="1:4" ht="17.25" customHeight="1">
      <c r="A77" s="13" t="s">
        <v>113</v>
      </c>
      <c r="B77" s="33" t="s">
        <v>112</v>
      </c>
      <c r="C77" s="15">
        <f>0.75*5*2*51</f>
        <v>382.5</v>
      </c>
      <c r="D77" s="32" t="s">
        <v>114</v>
      </c>
    </row>
    <row r="78" spans="1:6" ht="24.75" customHeight="1">
      <c r="A78" s="13" t="s">
        <v>115</v>
      </c>
      <c r="B78" s="14" t="s">
        <v>67</v>
      </c>
      <c r="C78" s="15">
        <v>5</v>
      </c>
      <c r="D78" s="32" t="s">
        <v>116</v>
      </c>
      <c r="F78" s="159"/>
    </row>
    <row r="79" spans="1:4" ht="12.75" customHeight="1">
      <c r="A79" s="18" t="s">
        <v>117</v>
      </c>
      <c r="B79" s="18"/>
      <c r="C79" s="181"/>
      <c r="D79" s="19"/>
    </row>
    <row r="80" spans="1:4" ht="12.75">
      <c r="A80" s="35" t="s">
        <v>118</v>
      </c>
      <c r="B80" s="36"/>
      <c r="C80" s="38"/>
      <c r="D80" s="38"/>
    </row>
    <row r="81" spans="1:4" ht="12.75">
      <c r="A81" s="39" t="s">
        <v>119</v>
      </c>
      <c r="B81" s="40" t="s">
        <v>39</v>
      </c>
      <c r="C81" s="40">
        <f>6.1+1</f>
        <v>7.1</v>
      </c>
      <c r="D81" s="92"/>
    </row>
    <row r="82" spans="1:4" ht="12.75">
      <c r="A82" s="39" t="s">
        <v>120</v>
      </c>
      <c r="B82" s="40" t="s">
        <v>67</v>
      </c>
      <c r="C82" s="41">
        <v>5</v>
      </c>
      <c r="D82" s="92"/>
    </row>
    <row r="83" spans="1:4" ht="12.75">
      <c r="A83" s="39" t="s">
        <v>343</v>
      </c>
      <c r="B83" s="40" t="s">
        <v>67</v>
      </c>
      <c r="C83" s="41">
        <v>2</v>
      </c>
      <c r="D83" s="92"/>
    </row>
    <row r="84" spans="1:4" ht="12.75">
      <c r="A84" s="35" t="s">
        <v>124</v>
      </c>
      <c r="B84" s="36"/>
      <c r="C84" s="36"/>
      <c r="D84" s="38"/>
    </row>
    <row r="85" spans="1:4" ht="12.75">
      <c r="A85" s="39" t="s">
        <v>641</v>
      </c>
      <c r="B85" s="40"/>
      <c r="C85" s="41">
        <v>1</v>
      </c>
      <c r="D85" s="92"/>
    </row>
    <row r="86" spans="1:4" ht="12.75">
      <c r="A86" s="43" t="s">
        <v>530</v>
      </c>
      <c r="B86" s="41" t="s">
        <v>67</v>
      </c>
      <c r="C86" s="41">
        <f>2</f>
        <v>2</v>
      </c>
      <c r="D86" s="92"/>
    </row>
    <row r="87" spans="1:4" ht="12.75">
      <c r="A87" s="35" t="s">
        <v>467</v>
      </c>
      <c r="B87" s="36"/>
      <c r="C87" s="36"/>
      <c r="D87" s="38"/>
    </row>
    <row r="88" spans="1:4" s="97" customFormat="1" ht="12.75">
      <c r="A88" s="43" t="s">
        <v>642</v>
      </c>
      <c r="B88" s="41" t="s">
        <v>67</v>
      </c>
      <c r="C88" s="41">
        <v>1</v>
      </c>
      <c r="D88" s="129"/>
    </row>
    <row r="89" spans="1:4" ht="12.75">
      <c r="A89" s="43" t="s">
        <v>127</v>
      </c>
      <c r="B89" s="46" t="s">
        <v>67</v>
      </c>
      <c r="C89" s="41">
        <f>2+2+2+3+2+1+1+5+2+2+2+4</f>
        <v>28</v>
      </c>
      <c r="D89" s="92"/>
    </row>
    <row r="90" spans="1:4" ht="12.75">
      <c r="A90" s="43" t="s">
        <v>185</v>
      </c>
      <c r="B90" s="46" t="s">
        <v>67</v>
      </c>
      <c r="C90" s="41">
        <f>7+1+2+1+4+2</f>
        <v>17</v>
      </c>
      <c r="D90" s="92"/>
    </row>
    <row r="91" spans="1:4" ht="12.75">
      <c r="A91" s="43" t="s">
        <v>128</v>
      </c>
      <c r="B91" s="46" t="s">
        <v>67</v>
      </c>
      <c r="C91" s="41">
        <f>1+1+1+2+1</f>
        <v>6</v>
      </c>
      <c r="D91" s="92"/>
    </row>
    <row r="92" spans="1:4" ht="12.75">
      <c r="A92" s="43" t="s">
        <v>468</v>
      </c>
      <c r="B92" s="40" t="s">
        <v>67</v>
      </c>
      <c r="C92" s="41">
        <f>1+1+1+1+1+5+2</f>
        <v>12</v>
      </c>
      <c r="D92" s="92"/>
    </row>
    <row r="93" spans="1:4" ht="12.75">
      <c r="A93" s="43" t="s">
        <v>131</v>
      </c>
      <c r="B93" s="40" t="s">
        <v>67</v>
      </c>
      <c r="C93" s="41">
        <v>5</v>
      </c>
      <c r="D93" s="54" t="s">
        <v>130</v>
      </c>
    </row>
    <row r="94" spans="1:4" ht="12.75">
      <c r="A94" s="43" t="s">
        <v>416</v>
      </c>
      <c r="B94" s="40" t="s">
        <v>67</v>
      </c>
      <c r="C94" s="41">
        <v>1</v>
      </c>
      <c r="D94" s="92"/>
    </row>
    <row r="95" spans="1:4" ht="12.75">
      <c r="A95" s="43" t="s">
        <v>470</v>
      </c>
      <c r="B95" s="46" t="s">
        <v>67</v>
      </c>
      <c r="C95" s="41">
        <f>2+2+1+3+3+1</f>
        <v>12</v>
      </c>
      <c r="D95" s="92"/>
    </row>
    <row r="96" spans="1:4" ht="12.75">
      <c r="A96" s="43" t="s">
        <v>188</v>
      </c>
      <c r="B96" s="46" t="s">
        <v>67</v>
      </c>
      <c r="C96" s="41">
        <f>2+5+3</f>
        <v>10</v>
      </c>
      <c r="D96" s="92"/>
    </row>
    <row r="97" spans="1:4" ht="12.75">
      <c r="A97" s="43" t="s">
        <v>189</v>
      </c>
      <c r="B97" s="40" t="s">
        <v>133</v>
      </c>
      <c r="C97" s="41">
        <f>2+3</f>
        <v>5</v>
      </c>
      <c r="D97" s="92"/>
    </row>
    <row r="98" spans="1:4" ht="12.75">
      <c r="A98" s="43" t="s">
        <v>190</v>
      </c>
      <c r="B98" s="40" t="s">
        <v>67</v>
      </c>
      <c r="C98" s="41">
        <f>1+2+2</f>
        <v>5</v>
      </c>
      <c r="D98" s="92"/>
    </row>
    <row r="99" spans="1:4" ht="12.75">
      <c r="A99" s="43" t="s">
        <v>134</v>
      </c>
      <c r="B99" s="40" t="s">
        <v>39</v>
      </c>
      <c r="C99" s="41">
        <f>1.4+1.4+17+8+1+1+1.05+0.8+0.4+0.8+0.4+0.8+0.8+0.8+0.8+0.4+2.5+0.5+3+1+2+2+2+0.6+1.2+1.4+1</f>
        <v>54.04999999999999</v>
      </c>
      <c r="D99" s="92"/>
    </row>
    <row r="100" spans="1:4" ht="12.75">
      <c r="A100" s="43" t="s">
        <v>277</v>
      </c>
      <c r="B100" s="40" t="s">
        <v>67</v>
      </c>
      <c r="C100" s="41">
        <f>4+5+4</f>
        <v>13</v>
      </c>
      <c r="D100" s="92"/>
    </row>
    <row r="101" spans="1:4" ht="12.75">
      <c r="A101" s="43" t="s">
        <v>472</v>
      </c>
      <c r="B101" s="40" t="s">
        <v>67</v>
      </c>
      <c r="C101" s="41">
        <f>2</f>
        <v>2</v>
      </c>
      <c r="D101" s="92"/>
    </row>
    <row r="102" spans="1:4" ht="12.75">
      <c r="A102" s="43" t="s">
        <v>473</v>
      </c>
      <c r="B102" s="40" t="s">
        <v>67</v>
      </c>
      <c r="C102" s="41">
        <v>1</v>
      </c>
      <c r="D102" s="92"/>
    </row>
    <row r="103" spans="1:4" ht="12.75">
      <c r="A103" s="43" t="s">
        <v>346</v>
      </c>
      <c r="B103" s="40" t="s">
        <v>122</v>
      </c>
      <c r="C103" s="40">
        <f>1+1+1+1+1</f>
        <v>5</v>
      </c>
      <c r="D103" s="92"/>
    </row>
    <row r="104" spans="1:4" ht="12.75">
      <c r="A104" s="43" t="s">
        <v>474</v>
      </c>
      <c r="B104" s="40" t="s">
        <v>39</v>
      </c>
      <c r="C104" s="40">
        <f>0.1+0.3+0.2</f>
        <v>0.6000000000000001</v>
      </c>
      <c r="D104" s="92"/>
    </row>
    <row r="105" spans="1:4" ht="12.75">
      <c r="A105" s="88" t="s">
        <v>643</v>
      </c>
      <c r="B105" s="40" t="s">
        <v>302</v>
      </c>
      <c r="C105" s="41">
        <f>3+3+3</f>
        <v>9</v>
      </c>
      <c r="D105" s="92"/>
    </row>
    <row r="106" spans="1:4" ht="12.75">
      <c r="A106" s="88" t="s">
        <v>268</v>
      </c>
      <c r="B106" s="40" t="s">
        <v>67</v>
      </c>
      <c r="C106" s="40">
        <v>5</v>
      </c>
      <c r="D106" s="92"/>
    </row>
    <row r="107" spans="1:4" ht="12.75">
      <c r="A107" s="35" t="s">
        <v>238</v>
      </c>
      <c r="B107" s="36"/>
      <c r="C107" s="36"/>
      <c r="D107" s="38"/>
    </row>
    <row r="108" spans="1:4" ht="12.75">
      <c r="A108" s="43" t="s">
        <v>475</v>
      </c>
      <c r="B108" s="40" t="s">
        <v>133</v>
      </c>
      <c r="C108" s="40">
        <f>44.6+15</f>
        <v>59.6</v>
      </c>
      <c r="D108" s="92"/>
    </row>
    <row r="109" spans="1:4" ht="12.75">
      <c r="A109" s="35" t="s">
        <v>137</v>
      </c>
      <c r="B109" s="48"/>
      <c r="C109" s="36"/>
      <c r="D109" s="38"/>
    </row>
    <row r="110" spans="1:4" ht="12.75">
      <c r="A110" s="39" t="s">
        <v>125</v>
      </c>
      <c r="B110" s="40" t="s">
        <v>67</v>
      </c>
      <c r="C110" s="41">
        <f>2</f>
        <v>2</v>
      </c>
      <c r="D110" s="92"/>
    </row>
    <row r="111" spans="1:4" ht="12.75">
      <c r="A111" s="39" t="s">
        <v>142</v>
      </c>
      <c r="B111" s="40" t="s">
        <v>122</v>
      </c>
      <c r="C111" s="41">
        <f>2</f>
        <v>2</v>
      </c>
      <c r="D111" s="92"/>
    </row>
    <row r="112" spans="1:4" ht="12.75">
      <c r="A112" s="35" t="s">
        <v>213</v>
      </c>
      <c r="B112" s="36"/>
      <c r="C112" s="36"/>
      <c r="D112" s="38"/>
    </row>
    <row r="113" spans="1:4" ht="12.75">
      <c r="A113" s="43" t="s">
        <v>184</v>
      </c>
      <c r="B113" s="41" t="s">
        <v>39</v>
      </c>
      <c r="C113" s="41">
        <f>4.5+0.8</f>
        <v>5.3</v>
      </c>
      <c r="D113" s="92"/>
    </row>
    <row r="114" spans="1:4" ht="12.75">
      <c r="A114" s="43" t="s">
        <v>564</v>
      </c>
      <c r="B114" s="41" t="s">
        <v>302</v>
      </c>
      <c r="C114" s="41">
        <v>0.7</v>
      </c>
      <c r="D114" s="92"/>
    </row>
    <row r="115" spans="1:4" ht="12.75">
      <c r="A115" s="80" t="s">
        <v>532</v>
      </c>
      <c r="B115" s="41" t="s">
        <v>39</v>
      </c>
      <c r="C115" s="41">
        <v>3.5</v>
      </c>
      <c r="D115" s="92"/>
    </row>
    <row r="116" spans="1:4" ht="12.75">
      <c r="A116" s="49" t="s">
        <v>141</v>
      </c>
      <c r="B116" s="36"/>
      <c r="C116" s="36"/>
      <c r="D116" s="38"/>
    </row>
    <row r="117" spans="1:4" ht="12.75">
      <c r="A117" s="51" t="s">
        <v>279</v>
      </c>
      <c r="B117" s="41" t="s">
        <v>67</v>
      </c>
      <c r="C117" s="40">
        <f>1+1+2+3+1</f>
        <v>8</v>
      </c>
      <c r="D117" s="92"/>
    </row>
    <row r="118" spans="1:4" s="1" customFormat="1" ht="12.75">
      <c r="A118" s="80" t="s">
        <v>242</v>
      </c>
      <c r="B118" s="41" t="s">
        <v>67</v>
      </c>
      <c r="C118" s="41">
        <v>6</v>
      </c>
      <c r="D118" s="68" t="s">
        <v>186</v>
      </c>
    </row>
    <row r="119" spans="1:4" ht="12.75">
      <c r="A119" s="51" t="s">
        <v>142</v>
      </c>
      <c r="B119" s="41" t="s">
        <v>67</v>
      </c>
      <c r="C119" s="40">
        <f>1+1+2</f>
        <v>4</v>
      </c>
      <c r="D119" s="42"/>
    </row>
    <row r="120" spans="1:4" ht="12.75">
      <c r="A120" s="39" t="s">
        <v>644</v>
      </c>
      <c r="B120" s="40" t="s">
        <v>67</v>
      </c>
      <c r="C120" s="40">
        <f>1</f>
        <v>1</v>
      </c>
      <c r="D120" s="42"/>
    </row>
    <row r="121" spans="1:4" ht="12.75">
      <c r="A121" s="49" t="s">
        <v>145</v>
      </c>
      <c r="B121" s="36"/>
      <c r="C121" s="36"/>
      <c r="D121" s="45"/>
    </row>
    <row r="122" spans="1:4" ht="12.75">
      <c r="A122" s="52" t="s">
        <v>194</v>
      </c>
      <c r="B122" s="41" t="s">
        <v>133</v>
      </c>
      <c r="C122" s="40">
        <f>3+10+10</f>
        <v>23</v>
      </c>
      <c r="D122" s="42"/>
    </row>
    <row r="123" spans="1:4" ht="12.75">
      <c r="A123" s="52" t="s">
        <v>147</v>
      </c>
      <c r="B123" s="40" t="s">
        <v>67</v>
      </c>
      <c r="C123" s="40">
        <v>4</v>
      </c>
      <c r="D123" s="42"/>
    </row>
    <row r="124" spans="1:4" ht="12.75">
      <c r="A124" s="52" t="s">
        <v>149</v>
      </c>
      <c r="B124" s="40" t="s">
        <v>67</v>
      </c>
      <c r="C124" s="40">
        <v>5</v>
      </c>
      <c r="D124" s="42"/>
    </row>
    <row r="125" spans="1:4" ht="12.75">
      <c r="A125" s="52" t="s">
        <v>150</v>
      </c>
      <c r="B125" s="41" t="s">
        <v>39</v>
      </c>
      <c r="C125" s="40">
        <f>8</f>
        <v>8</v>
      </c>
      <c r="D125" s="42"/>
    </row>
    <row r="126" spans="1:4" s="1" customFormat="1" ht="12.75">
      <c r="A126" s="80" t="s">
        <v>151</v>
      </c>
      <c r="B126" s="41" t="s">
        <v>39</v>
      </c>
      <c r="C126" s="41">
        <v>2835</v>
      </c>
      <c r="D126" s="68" t="s">
        <v>130</v>
      </c>
    </row>
    <row r="127" spans="1:4" ht="12.75">
      <c r="A127" s="52" t="s">
        <v>197</v>
      </c>
      <c r="B127" s="41" t="s">
        <v>67</v>
      </c>
      <c r="C127" s="40">
        <f>8</f>
        <v>8</v>
      </c>
      <c r="D127" s="42"/>
    </row>
    <row r="128" spans="1:4" ht="12.75">
      <c r="A128" s="52" t="s">
        <v>152</v>
      </c>
      <c r="B128" s="41" t="s">
        <v>133</v>
      </c>
      <c r="C128" s="41">
        <v>330</v>
      </c>
      <c r="D128" s="92"/>
    </row>
    <row r="129" spans="1:4" ht="12.75">
      <c r="A129" s="52" t="s">
        <v>198</v>
      </c>
      <c r="B129" s="41" t="s">
        <v>67</v>
      </c>
      <c r="C129" s="40">
        <v>1</v>
      </c>
      <c r="D129" s="92"/>
    </row>
    <row r="130" spans="1:4" ht="12.75">
      <c r="A130" s="52" t="s">
        <v>595</v>
      </c>
      <c r="B130" s="41" t="s">
        <v>67</v>
      </c>
      <c r="C130" s="40">
        <v>2</v>
      </c>
      <c r="D130" s="92"/>
    </row>
    <row r="131" spans="1:4" ht="12.75">
      <c r="A131" s="52" t="s">
        <v>318</v>
      </c>
      <c r="B131" s="41" t="s">
        <v>67</v>
      </c>
      <c r="C131" s="40">
        <f>2</f>
        <v>2</v>
      </c>
      <c r="D131" s="92"/>
    </row>
    <row r="132" spans="1:4" ht="12.75">
      <c r="A132" s="52" t="s">
        <v>154</v>
      </c>
      <c r="B132" s="41" t="s">
        <v>67</v>
      </c>
      <c r="C132" s="40">
        <f>5+2</f>
        <v>7</v>
      </c>
      <c r="D132" s="92"/>
    </row>
    <row r="133" spans="1:4" s="1" customFormat="1" ht="12.75">
      <c r="A133" s="80" t="s">
        <v>645</v>
      </c>
      <c r="B133" s="41" t="s">
        <v>67</v>
      </c>
      <c r="C133" s="41">
        <v>2</v>
      </c>
      <c r="D133" s="91"/>
    </row>
    <row r="134" spans="1:4" ht="12.75">
      <c r="A134" s="49" t="s">
        <v>157</v>
      </c>
      <c r="B134" s="36"/>
      <c r="C134" s="36"/>
      <c r="D134" s="38"/>
    </row>
    <row r="135" spans="1:4" s="1" customFormat="1" ht="12.75">
      <c r="A135" s="80" t="s">
        <v>158</v>
      </c>
      <c r="B135" s="41" t="s">
        <v>67</v>
      </c>
      <c r="C135" s="41">
        <v>15</v>
      </c>
      <c r="D135" s="68" t="s">
        <v>646</v>
      </c>
    </row>
    <row r="136" spans="1:4" s="1" customFormat="1" ht="12.75">
      <c r="A136" s="80" t="s">
        <v>202</v>
      </c>
      <c r="B136" s="41" t="s">
        <v>39</v>
      </c>
      <c r="C136" s="41">
        <v>180</v>
      </c>
      <c r="D136" s="130"/>
    </row>
    <row r="137" spans="1:4" s="1" customFormat="1" ht="12.75">
      <c r="A137" s="80" t="s">
        <v>647</v>
      </c>
      <c r="B137" s="41" t="s">
        <v>648</v>
      </c>
      <c r="C137" s="41">
        <f>0.8+0.8</f>
        <v>1.6</v>
      </c>
      <c r="D137" s="130"/>
    </row>
    <row r="138" spans="1:4" ht="12.75">
      <c r="A138" s="51" t="s">
        <v>247</v>
      </c>
      <c r="B138" s="40" t="s">
        <v>67</v>
      </c>
      <c r="C138" s="40">
        <v>5</v>
      </c>
      <c r="D138" s="92"/>
    </row>
    <row r="139" spans="1:5" ht="12.75">
      <c r="A139" s="49" t="s">
        <v>161</v>
      </c>
      <c r="B139" s="36"/>
      <c r="C139" s="36"/>
      <c r="D139" s="82"/>
      <c r="E139" s="94"/>
    </row>
    <row r="140" spans="1:5" ht="12.75">
      <c r="A140" s="54" t="s">
        <v>162</v>
      </c>
      <c r="B140" s="55" t="s">
        <v>39</v>
      </c>
      <c r="C140" s="182">
        <f>1500.4</f>
        <v>1500.4</v>
      </c>
      <c r="D140" s="68" t="s">
        <v>44</v>
      </c>
      <c r="E140" s="94"/>
    </row>
    <row r="141" spans="1:5" ht="12.75">
      <c r="A141" s="54" t="s">
        <v>163</v>
      </c>
      <c r="B141" s="55" t="s">
        <v>39</v>
      </c>
      <c r="C141" s="182">
        <f>1500.4</f>
        <v>1500.4</v>
      </c>
      <c r="D141" s="89" t="s">
        <v>164</v>
      </c>
      <c r="E141" s="94"/>
    </row>
    <row r="142" spans="1:5" ht="12.75">
      <c r="A142" s="49" t="s">
        <v>165</v>
      </c>
      <c r="B142" s="38"/>
      <c r="C142" s="61"/>
      <c r="D142" s="62"/>
      <c r="E142" s="94"/>
    </row>
    <row r="143" spans="1:5" ht="12.75">
      <c r="A143" s="54" t="s">
        <v>162</v>
      </c>
      <c r="B143" s="55" t="s">
        <v>39</v>
      </c>
      <c r="C143" s="182">
        <f>1500.4+107.52</f>
        <v>1607.92</v>
      </c>
      <c r="D143" s="68" t="s">
        <v>44</v>
      </c>
      <c r="E143" s="94"/>
    </row>
    <row r="144" spans="1:5" ht="12.75">
      <c r="A144" s="54" t="s">
        <v>163</v>
      </c>
      <c r="B144" s="55" t="s">
        <v>39</v>
      </c>
      <c r="C144" s="182">
        <f>1500.4+107.52</f>
        <v>1607.92</v>
      </c>
      <c r="D144" s="89" t="s">
        <v>164</v>
      </c>
      <c r="E144" s="94"/>
    </row>
    <row r="145" spans="1:5" ht="12.75">
      <c r="A145" s="49" t="s">
        <v>166</v>
      </c>
      <c r="B145" s="38"/>
      <c r="C145" s="61"/>
      <c r="D145" s="62"/>
      <c r="E145" s="94"/>
    </row>
    <row r="146" spans="1:5" ht="12.75">
      <c r="A146" s="54" t="s">
        <v>162</v>
      </c>
      <c r="B146" s="55" t="s">
        <v>39</v>
      </c>
      <c r="C146" s="182">
        <f>1500.4+616.6+264.5</f>
        <v>2381.5</v>
      </c>
      <c r="D146" s="68" t="s">
        <v>175</v>
      </c>
      <c r="E146" s="94"/>
    </row>
    <row r="147" spans="1:5" ht="12.75">
      <c r="A147" s="54" t="s">
        <v>163</v>
      </c>
      <c r="B147" s="55" t="s">
        <v>39</v>
      </c>
      <c r="C147" s="182">
        <f>1500.4+616.6+264.5</f>
        <v>2381.5</v>
      </c>
      <c r="D147" s="89" t="s">
        <v>164</v>
      </c>
      <c r="E147" s="94"/>
    </row>
    <row r="148" spans="1:5" ht="12.75">
      <c r="A148" s="49" t="s">
        <v>168</v>
      </c>
      <c r="B148" s="36"/>
      <c r="C148" s="116"/>
      <c r="D148" s="65"/>
      <c r="E148" s="94"/>
    </row>
    <row r="149" spans="1:5" ht="12.75">
      <c r="A149" s="54" t="s">
        <v>169</v>
      </c>
      <c r="B149" s="55" t="s">
        <v>170</v>
      </c>
      <c r="C149" s="66" t="s">
        <v>535</v>
      </c>
      <c r="D149" s="68" t="s">
        <v>44</v>
      </c>
      <c r="E149" s="67"/>
    </row>
    <row r="150" spans="1:5" ht="12.75">
      <c r="A150" s="54" t="s">
        <v>172</v>
      </c>
      <c r="B150" s="55" t="s">
        <v>170</v>
      </c>
      <c r="C150" s="66" t="s">
        <v>535</v>
      </c>
      <c r="D150" s="47" t="s">
        <v>649</v>
      </c>
      <c r="E150" s="94"/>
    </row>
    <row r="151" spans="1:4" ht="12.75">
      <c r="A151" s="69" t="s">
        <v>174</v>
      </c>
      <c r="B151" s="55" t="s">
        <v>170</v>
      </c>
      <c r="C151" s="55">
        <v>5</v>
      </c>
      <c r="D151" s="68" t="s">
        <v>175</v>
      </c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4"/>
  </sheetPr>
  <dimension ref="A1:H128"/>
  <sheetViews>
    <sheetView workbookViewId="0" topLeftCell="A112">
      <selection activeCell="A131" sqref="A131"/>
    </sheetView>
  </sheetViews>
  <sheetFormatPr defaultColWidth="9.00390625" defaultRowHeight="12.75"/>
  <cols>
    <col min="1" max="1" width="49.125" style="0" customWidth="1"/>
    <col min="2" max="2" width="8.875" style="0" customWidth="1"/>
    <col min="3" max="3" width="14.625" style="0" customWidth="1"/>
    <col min="4" max="4" width="21.75390625" style="0" customWidth="1"/>
    <col min="6" max="6" width="11.375" style="0" customWidth="1"/>
  </cols>
  <sheetData>
    <row r="1" spans="1:3" ht="12.75">
      <c r="A1" s="163"/>
      <c r="B1" s="163"/>
      <c r="C1" s="163"/>
    </row>
    <row r="2" spans="1:3" ht="12.75">
      <c r="A2" s="163"/>
      <c r="B2" s="163"/>
      <c r="C2" s="163"/>
    </row>
    <row r="3" spans="1:3" ht="12.75">
      <c r="A3" s="163"/>
      <c r="B3" s="163"/>
      <c r="C3" s="163"/>
    </row>
    <row r="4" spans="1:3" ht="22.5" customHeight="1">
      <c r="A4" s="195"/>
      <c r="B4" s="163"/>
      <c r="C4" s="163"/>
    </row>
    <row r="5" spans="1:3" ht="18.75" customHeight="1">
      <c r="A5" s="163"/>
      <c r="B5" s="163"/>
      <c r="C5" s="163"/>
    </row>
    <row r="7" spans="1:3" ht="12.75">
      <c r="A7" t="s">
        <v>5</v>
      </c>
      <c r="C7" s="4" t="s">
        <v>650</v>
      </c>
    </row>
    <row r="8" spans="1:3" ht="12.75">
      <c r="A8" t="s">
        <v>7</v>
      </c>
      <c r="C8" s="4" t="s">
        <v>651</v>
      </c>
    </row>
    <row r="9" spans="1:3" ht="12.75">
      <c r="A9" t="s">
        <v>9</v>
      </c>
      <c r="C9" s="7"/>
    </row>
    <row r="10" ht="12.75">
      <c r="C10" s="7"/>
    </row>
    <row r="11" spans="1:3" ht="12.75">
      <c r="A11" t="s">
        <v>11</v>
      </c>
      <c r="C11" s="7" t="s">
        <v>652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t="s">
        <v>32</v>
      </c>
      <c r="C24" s="71">
        <v>0.9222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505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505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629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10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29.2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15">
        <v>505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152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/>
      <c r="D36" s="16" t="s">
        <v>233</v>
      </c>
    </row>
    <row r="37" spans="1:4" ht="16.5" customHeight="1">
      <c r="A37" s="13" t="s">
        <v>56</v>
      </c>
      <c r="B37" s="17" t="s">
        <v>39</v>
      </c>
      <c r="C37" s="15"/>
      <c r="D37" s="16" t="s">
        <v>233</v>
      </c>
    </row>
    <row r="38" spans="1:4" ht="12.75">
      <c r="A38" s="13" t="s">
        <v>59</v>
      </c>
      <c r="B38" s="17" t="s">
        <v>39</v>
      </c>
      <c r="C38" s="15"/>
      <c r="D38" s="16" t="s">
        <v>233</v>
      </c>
    </row>
    <row r="39" spans="1:4" ht="14.25" customHeight="1">
      <c r="A39" s="13" t="s">
        <v>61</v>
      </c>
      <c r="B39" s="17" t="s">
        <v>39</v>
      </c>
      <c r="C39" s="15">
        <v>2004.8</v>
      </c>
      <c r="D39" s="16" t="s">
        <v>46</v>
      </c>
    </row>
    <row r="40" spans="1:4" ht="27" customHeight="1">
      <c r="A40" s="13" t="s">
        <v>62</v>
      </c>
      <c r="B40" s="17" t="s">
        <v>39</v>
      </c>
      <c r="C40" s="73">
        <v>505</v>
      </c>
      <c r="D40" s="16" t="s">
        <v>53</v>
      </c>
    </row>
    <row r="41" spans="1:4" ht="15" customHeight="1">
      <c r="A41" s="13" t="s">
        <v>63</v>
      </c>
      <c r="B41" s="17" t="s">
        <v>39</v>
      </c>
      <c r="C41" s="15"/>
      <c r="D41" s="16" t="s">
        <v>233</v>
      </c>
    </row>
    <row r="42" spans="1:4" ht="15" customHeight="1">
      <c r="A42" s="13" t="s">
        <v>64</v>
      </c>
      <c r="B42" s="17" t="s">
        <v>39</v>
      </c>
      <c r="C42" s="15">
        <v>55.52</v>
      </c>
      <c r="D42" s="16" t="s">
        <v>44</v>
      </c>
    </row>
    <row r="43" spans="1:4" ht="31.5" customHeight="1">
      <c r="A43" s="13" t="s">
        <v>65</v>
      </c>
      <c r="B43" s="17" t="s">
        <v>39</v>
      </c>
      <c r="C43" s="15">
        <v>24</v>
      </c>
      <c r="D43" s="16" t="s">
        <v>53</v>
      </c>
    </row>
    <row r="44" spans="1:4" ht="15.75" customHeight="1">
      <c r="A44" s="13" t="s">
        <v>66</v>
      </c>
      <c r="B44" s="17" t="s">
        <v>67</v>
      </c>
      <c r="C44" s="15">
        <v>2</v>
      </c>
      <c r="D44" s="16" t="s">
        <v>60</v>
      </c>
    </row>
    <row r="45" spans="1:4" ht="33" customHeight="1">
      <c r="A45" s="13" t="s">
        <v>68</v>
      </c>
      <c r="B45" s="17" t="s">
        <v>67</v>
      </c>
      <c r="C45" s="15">
        <v>2</v>
      </c>
      <c r="D45" s="16" t="s">
        <v>69</v>
      </c>
    </row>
    <row r="46" spans="1:4" ht="17.25" customHeight="1">
      <c r="A46" s="13" t="s">
        <v>70</v>
      </c>
      <c r="B46" s="17" t="s">
        <v>39</v>
      </c>
      <c r="C46" s="15">
        <v>10</v>
      </c>
      <c r="D46" s="16" t="s">
        <v>71</v>
      </c>
    </row>
    <row r="47" spans="1:4" ht="26.25" customHeight="1">
      <c r="A47" s="13" t="s">
        <v>72</v>
      </c>
      <c r="B47" s="17" t="s">
        <v>39</v>
      </c>
      <c r="C47" s="15">
        <f>1*1.88*8*2</f>
        <v>30.08</v>
      </c>
      <c r="D47" s="16" t="s">
        <v>53</v>
      </c>
    </row>
    <row r="48" spans="1:4" ht="17.25" customHeight="1">
      <c r="A48" s="13" t="s">
        <v>73</v>
      </c>
      <c r="B48" s="17" t="s">
        <v>67</v>
      </c>
      <c r="C48" s="15">
        <v>2</v>
      </c>
      <c r="D48" s="16" t="s">
        <v>44</v>
      </c>
    </row>
    <row r="49" spans="1:4" ht="16.5" customHeight="1">
      <c r="A49" s="13" t="s">
        <v>74</v>
      </c>
      <c r="B49" s="17" t="s">
        <v>39</v>
      </c>
      <c r="C49" s="15">
        <v>1002.4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37.5" customHeight="1">
      <c r="A55" s="13" t="s">
        <v>82</v>
      </c>
      <c r="B55" s="24" t="s">
        <v>79</v>
      </c>
      <c r="C55" s="24"/>
      <c r="D55" s="13" t="s">
        <v>83</v>
      </c>
    </row>
    <row r="56" spans="1:4" ht="41.25" customHeight="1">
      <c r="A56" s="13" t="s">
        <v>84</v>
      </c>
      <c r="B56" s="24" t="s">
        <v>79</v>
      </c>
      <c r="C56" s="24"/>
      <c r="D56" s="13" t="s">
        <v>83</v>
      </c>
    </row>
    <row r="57" spans="1:4" ht="38.25" customHeight="1">
      <c r="A57" s="13" t="s">
        <v>85</v>
      </c>
      <c r="B57" s="24" t="s">
        <v>79</v>
      </c>
      <c r="C57" s="24"/>
      <c r="D57" s="13" t="s">
        <v>86</v>
      </c>
    </row>
    <row r="58" spans="1:4" ht="36" customHeight="1">
      <c r="A58" s="13" t="s">
        <v>87</v>
      </c>
      <c r="B58" s="24" t="s">
        <v>79</v>
      </c>
      <c r="C58" s="24"/>
      <c r="D58" s="13" t="s">
        <v>88</v>
      </c>
    </row>
    <row r="59" spans="1:4" ht="46.5" customHeight="1">
      <c r="A59" s="13" t="s">
        <v>89</v>
      </c>
      <c r="B59" s="24" t="s">
        <v>79</v>
      </c>
      <c r="C59" s="24"/>
      <c r="D59" s="13" t="s">
        <v>40</v>
      </c>
    </row>
    <row r="60" spans="1:4" ht="42.75" customHeight="1">
      <c r="A60" s="13" t="s">
        <v>90</v>
      </c>
      <c r="B60" s="24" t="s">
        <v>79</v>
      </c>
      <c r="C60" s="24"/>
      <c r="D60" s="13" t="s">
        <v>88</v>
      </c>
    </row>
    <row r="61" spans="1:4" ht="40.5" customHeight="1">
      <c r="A61" s="13" t="s">
        <v>91</v>
      </c>
      <c r="B61" s="24" t="s">
        <v>79</v>
      </c>
      <c r="C61" s="24"/>
      <c r="D61" s="13" t="s">
        <v>92</v>
      </c>
    </row>
    <row r="62" spans="1:4" ht="43.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43.5" customHeight="1">
      <c r="A64" s="13" t="s">
        <v>96</v>
      </c>
      <c r="B64" s="24" t="s">
        <v>79</v>
      </c>
      <c r="C64" s="24"/>
      <c r="D64" s="13" t="s">
        <v>88</v>
      </c>
    </row>
    <row r="65" spans="1:4" ht="41.25" customHeight="1">
      <c r="A65" s="13" t="s">
        <v>97</v>
      </c>
      <c r="B65" s="24" t="s">
        <v>79</v>
      </c>
      <c r="C65" s="24"/>
      <c r="D65" s="13" t="s">
        <v>98</v>
      </c>
    </row>
    <row r="66" spans="1:4" ht="38.25" customHeight="1">
      <c r="A66" s="13" t="s">
        <v>99</v>
      </c>
      <c r="B66" s="24" t="s">
        <v>79</v>
      </c>
      <c r="C66" s="24"/>
      <c r="D66" s="13" t="s">
        <v>100</v>
      </c>
    </row>
    <row r="67" spans="1:4" ht="36" customHeight="1">
      <c r="A67" s="13" t="s">
        <v>101</v>
      </c>
      <c r="B67" s="24" t="s">
        <v>79</v>
      </c>
      <c r="C67" s="24"/>
      <c r="D67" s="13" t="s">
        <v>88</v>
      </c>
    </row>
    <row r="68" spans="1:4" ht="41.25" customHeight="1">
      <c r="A68" s="13" t="s">
        <v>102</v>
      </c>
      <c r="B68" s="24" t="s">
        <v>79</v>
      </c>
      <c r="C68" s="24"/>
      <c r="D68" s="13" t="s">
        <v>60</v>
      </c>
    </row>
    <row r="69" spans="1:4" ht="41.25" customHeight="1">
      <c r="A69" s="13" t="s">
        <v>103</v>
      </c>
      <c r="B69" s="24" t="s">
        <v>79</v>
      </c>
      <c r="C69" s="24"/>
      <c r="D69" s="13" t="s">
        <v>104</v>
      </c>
    </row>
    <row r="70" spans="1:4" ht="45.75" customHeight="1">
      <c r="A70" s="13" t="s">
        <v>105</v>
      </c>
      <c r="B70" s="24" t="s">
        <v>79</v>
      </c>
      <c r="C70" s="24"/>
      <c r="D70" s="13" t="s">
        <v>106</v>
      </c>
    </row>
    <row r="71" spans="1:4" ht="42" customHeight="1">
      <c r="A71" s="13" t="s">
        <v>107</v>
      </c>
      <c r="B71" s="24" t="s">
        <v>79</v>
      </c>
      <c r="C71" s="24"/>
      <c r="D71" s="13" t="s">
        <v>108</v>
      </c>
    </row>
    <row r="72" spans="1:4" ht="46.5" customHeight="1">
      <c r="A72" s="13" t="s">
        <v>89</v>
      </c>
      <c r="B72" s="24" t="s">
        <v>79</v>
      </c>
      <c r="C72" s="24"/>
      <c r="D72" s="13" t="s">
        <v>40</v>
      </c>
    </row>
    <row r="73" spans="1:4" ht="45.7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5" ht="27.75" customHeight="1">
      <c r="A75" s="13" t="s">
        <v>111</v>
      </c>
      <c r="B75" s="14" t="s">
        <v>112</v>
      </c>
      <c r="C75" s="15">
        <f>176*1.15*12</f>
        <v>2428.7999999999997</v>
      </c>
      <c r="D75" s="74" t="s">
        <v>69</v>
      </c>
      <c r="E75" s="8"/>
    </row>
    <row r="76" spans="1:4" ht="17.25" customHeight="1">
      <c r="A76" s="13" t="s">
        <v>113</v>
      </c>
      <c r="B76" s="33" t="s">
        <v>112</v>
      </c>
      <c r="C76" s="15">
        <f>0.75*2*2*51</f>
        <v>153</v>
      </c>
      <c r="D76" s="74" t="s">
        <v>114</v>
      </c>
    </row>
    <row r="77" spans="1:6" ht="24.75" customHeight="1">
      <c r="A77" s="13" t="s">
        <v>115</v>
      </c>
      <c r="B77" s="14" t="s">
        <v>67</v>
      </c>
      <c r="C77" s="15">
        <v>2</v>
      </c>
      <c r="D77" s="74" t="s">
        <v>116</v>
      </c>
      <c r="F77" s="159"/>
    </row>
    <row r="78" spans="1:4" ht="12.75" customHeight="1">
      <c r="A78" s="18" t="s">
        <v>117</v>
      </c>
      <c r="B78" s="18"/>
      <c r="C78" s="181"/>
      <c r="D78" s="190"/>
    </row>
    <row r="79" spans="1:4" ht="12.75">
      <c r="A79" s="35" t="s">
        <v>118</v>
      </c>
      <c r="B79" s="36"/>
      <c r="C79" s="38"/>
      <c r="D79" s="38"/>
    </row>
    <row r="80" spans="1:4" ht="12.75">
      <c r="A80" s="39" t="s">
        <v>119</v>
      </c>
      <c r="B80" s="40" t="s">
        <v>39</v>
      </c>
      <c r="C80" s="41">
        <f>0.4+0.6+12+6.8+4.2</f>
        <v>24</v>
      </c>
      <c r="D80" s="96"/>
    </row>
    <row r="81" spans="1:4" ht="12.75">
      <c r="A81" s="39" t="s">
        <v>343</v>
      </c>
      <c r="B81" s="40" t="s">
        <v>67</v>
      </c>
      <c r="C81" s="41">
        <f>1</f>
        <v>1</v>
      </c>
      <c r="D81" s="96"/>
    </row>
    <row r="82" spans="1:4" ht="12.75">
      <c r="A82" s="39" t="s">
        <v>264</v>
      </c>
      <c r="B82" s="40" t="s">
        <v>67</v>
      </c>
      <c r="C82" s="40">
        <v>8</v>
      </c>
      <c r="D82" s="96"/>
    </row>
    <row r="83" spans="1:4" ht="12.75">
      <c r="A83" s="39" t="s">
        <v>493</v>
      </c>
      <c r="B83" s="40" t="s">
        <v>67</v>
      </c>
      <c r="C83" s="40">
        <v>2</v>
      </c>
      <c r="D83" s="96"/>
    </row>
    <row r="84" spans="1:4" ht="12.75">
      <c r="A84" s="35" t="s">
        <v>235</v>
      </c>
      <c r="B84" s="36"/>
      <c r="C84" s="36"/>
      <c r="D84" s="45"/>
    </row>
    <row r="85" spans="1:4" ht="12.75">
      <c r="A85" s="39" t="s">
        <v>514</v>
      </c>
      <c r="B85" s="40" t="s">
        <v>67</v>
      </c>
      <c r="C85" s="41">
        <f>1+5</f>
        <v>6</v>
      </c>
      <c r="D85" s="96"/>
    </row>
    <row r="86" spans="1:4" ht="12.75">
      <c r="A86" s="43" t="s">
        <v>602</v>
      </c>
      <c r="B86" s="41" t="s">
        <v>122</v>
      </c>
      <c r="C86" s="40">
        <v>2</v>
      </c>
      <c r="D86" s="96"/>
    </row>
    <row r="87" spans="1:4" ht="12.75">
      <c r="A87" s="35" t="s">
        <v>467</v>
      </c>
      <c r="B87" s="36"/>
      <c r="C87" s="36"/>
      <c r="D87" s="45"/>
    </row>
    <row r="88" spans="1:4" ht="12.75">
      <c r="A88" s="43" t="s">
        <v>128</v>
      </c>
      <c r="B88" s="46" t="s">
        <v>67</v>
      </c>
      <c r="C88" s="41">
        <v>2</v>
      </c>
      <c r="D88" s="68" t="s">
        <v>186</v>
      </c>
    </row>
    <row r="89" spans="1:4" ht="12.75">
      <c r="A89" s="43" t="s">
        <v>468</v>
      </c>
      <c r="B89" s="40" t="s">
        <v>67</v>
      </c>
      <c r="C89" s="41">
        <v>2</v>
      </c>
      <c r="D89" s="68" t="s">
        <v>130</v>
      </c>
    </row>
    <row r="90" spans="1:4" ht="12.75">
      <c r="A90" s="43" t="s">
        <v>131</v>
      </c>
      <c r="B90" s="40" t="s">
        <v>67</v>
      </c>
      <c r="C90" s="41">
        <f>1+1</f>
        <v>2</v>
      </c>
      <c r="D90" s="96"/>
    </row>
    <row r="91" spans="1:4" ht="12.75">
      <c r="A91" s="43" t="s">
        <v>189</v>
      </c>
      <c r="B91" s="40" t="s">
        <v>133</v>
      </c>
      <c r="C91" s="41">
        <f>3</f>
        <v>3</v>
      </c>
      <c r="D91" s="96"/>
    </row>
    <row r="92" spans="1:4" ht="12.75">
      <c r="A92" s="43" t="s">
        <v>134</v>
      </c>
      <c r="B92" s="40" t="s">
        <v>39</v>
      </c>
      <c r="C92" s="41">
        <f>1.3+1.1+0.7</f>
        <v>3.1000000000000005</v>
      </c>
      <c r="D92" s="96"/>
    </row>
    <row r="93" spans="1:4" ht="12.75">
      <c r="A93" s="43" t="s">
        <v>277</v>
      </c>
      <c r="B93" s="40" t="s">
        <v>67</v>
      </c>
      <c r="C93" s="41">
        <f>6</f>
        <v>6</v>
      </c>
      <c r="D93" s="96"/>
    </row>
    <row r="94" spans="1:4" ht="12.75">
      <c r="A94" s="88" t="s">
        <v>268</v>
      </c>
      <c r="B94" s="40" t="s">
        <v>67</v>
      </c>
      <c r="C94" s="40">
        <v>2</v>
      </c>
      <c r="D94" s="96"/>
    </row>
    <row r="95" spans="1:4" ht="12.75">
      <c r="A95" s="35" t="s">
        <v>238</v>
      </c>
      <c r="B95" s="36"/>
      <c r="C95" s="36"/>
      <c r="D95" s="45"/>
    </row>
    <row r="96" spans="1:8" s="1" customFormat="1" ht="12.75">
      <c r="A96" s="43" t="s">
        <v>653</v>
      </c>
      <c r="B96" s="41" t="s">
        <v>39</v>
      </c>
      <c r="C96" s="41">
        <f>28.2+3.5</f>
        <v>31.7</v>
      </c>
      <c r="D96" s="44"/>
      <c r="G96" s="196"/>
      <c r="H96"/>
    </row>
    <row r="97" spans="1:4" ht="12.75">
      <c r="A97" s="35" t="s">
        <v>213</v>
      </c>
      <c r="B97" s="36"/>
      <c r="C97" s="36"/>
      <c r="D97" s="45"/>
    </row>
    <row r="98" spans="1:4" ht="12.75">
      <c r="A98" s="43" t="s">
        <v>184</v>
      </c>
      <c r="B98" s="41" t="s">
        <v>39</v>
      </c>
      <c r="C98" s="41">
        <v>6</v>
      </c>
      <c r="D98" s="96"/>
    </row>
    <row r="99" spans="1:4" ht="12.75">
      <c r="A99" s="49" t="s">
        <v>141</v>
      </c>
      <c r="B99" s="36"/>
      <c r="C99" s="36"/>
      <c r="D99" s="45"/>
    </row>
    <row r="100" spans="1:4" ht="12.75">
      <c r="A100" s="51" t="s">
        <v>216</v>
      </c>
      <c r="B100" s="41" t="s">
        <v>67</v>
      </c>
      <c r="C100" s="41">
        <f>1</f>
        <v>1</v>
      </c>
      <c r="D100" s="96"/>
    </row>
    <row r="101" spans="1:4" ht="12.75">
      <c r="A101" s="51" t="s">
        <v>242</v>
      </c>
      <c r="B101" s="41" t="s">
        <v>67</v>
      </c>
      <c r="C101" s="41">
        <v>4</v>
      </c>
      <c r="D101" s="68" t="s">
        <v>130</v>
      </c>
    </row>
    <row r="102" spans="1:4" ht="12.75">
      <c r="A102" s="39" t="s">
        <v>517</v>
      </c>
      <c r="B102" s="41" t="s">
        <v>67</v>
      </c>
      <c r="C102" s="41">
        <v>2</v>
      </c>
      <c r="D102" s="96"/>
    </row>
    <row r="103" spans="1:4" ht="12.75">
      <c r="A103" s="51" t="s">
        <v>143</v>
      </c>
      <c r="B103" s="40" t="s">
        <v>67</v>
      </c>
      <c r="C103" s="46">
        <f>5</f>
        <v>5</v>
      </c>
      <c r="D103" s="96"/>
    </row>
    <row r="104" spans="1:4" ht="12.75">
      <c r="A104" s="49" t="s">
        <v>145</v>
      </c>
      <c r="B104" s="36"/>
      <c r="C104" s="36"/>
      <c r="D104" s="45"/>
    </row>
    <row r="105" spans="1:4" ht="12.75">
      <c r="A105" s="52" t="s">
        <v>194</v>
      </c>
      <c r="B105" s="41" t="s">
        <v>133</v>
      </c>
      <c r="C105" s="40">
        <f>2.8</f>
        <v>2.8</v>
      </c>
      <c r="D105" s="96"/>
    </row>
    <row r="106" spans="1:4" ht="12.75">
      <c r="A106" s="52" t="s">
        <v>195</v>
      </c>
      <c r="B106" s="41" t="s">
        <v>112</v>
      </c>
      <c r="C106" s="40">
        <v>7</v>
      </c>
      <c r="D106" s="96"/>
    </row>
    <row r="107" spans="1:4" ht="12.75">
      <c r="A107" s="52" t="s">
        <v>149</v>
      </c>
      <c r="B107" s="40" t="s">
        <v>67</v>
      </c>
      <c r="C107" s="40">
        <v>2</v>
      </c>
      <c r="D107" s="96"/>
    </row>
    <row r="108" spans="1:4" ht="12.75">
      <c r="A108" s="52" t="s">
        <v>196</v>
      </c>
      <c r="B108" s="41" t="s">
        <v>67</v>
      </c>
      <c r="C108" s="40">
        <f>4+2</f>
        <v>6</v>
      </c>
      <c r="D108" s="96"/>
    </row>
    <row r="109" spans="1:4" s="1" customFormat="1" ht="12.75">
      <c r="A109" s="80" t="s">
        <v>150</v>
      </c>
      <c r="B109" s="41" t="s">
        <v>39</v>
      </c>
      <c r="C109" s="41">
        <v>52</v>
      </c>
      <c r="D109" s="44"/>
    </row>
    <row r="110" spans="1:4" ht="12.75">
      <c r="A110" s="52" t="s">
        <v>151</v>
      </c>
      <c r="B110" s="41" t="s">
        <v>39</v>
      </c>
      <c r="C110" s="40">
        <f>490</f>
        <v>490</v>
      </c>
      <c r="D110" s="96"/>
    </row>
    <row r="111" spans="1:4" ht="12.75">
      <c r="A111" s="52" t="s">
        <v>197</v>
      </c>
      <c r="B111" s="41" t="s">
        <v>67</v>
      </c>
      <c r="C111" s="40">
        <f>5</f>
        <v>5</v>
      </c>
      <c r="D111" s="96"/>
    </row>
    <row r="112" spans="1:4" ht="12.75">
      <c r="A112" s="52" t="s">
        <v>152</v>
      </c>
      <c r="B112" s="41" t="s">
        <v>133</v>
      </c>
      <c r="C112" s="40"/>
      <c r="D112" s="96"/>
    </row>
    <row r="113" spans="1:4" ht="12.75">
      <c r="A113" s="53" t="s">
        <v>153</v>
      </c>
      <c r="B113" s="41" t="s">
        <v>67</v>
      </c>
      <c r="C113" s="40">
        <f>19</f>
        <v>19</v>
      </c>
      <c r="D113" s="96"/>
    </row>
    <row r="114" spans="1:4" ht="12.75">
      <c r="A114" s="52" t="s">
        <v>318</v>
      </c>
      <c r="B114" s="41" t="s">
        <v>67</v>
      </c>
      <c r="C114" s="40">
        <f>1</f>
        <v>1</v>
      </c>
      <c r="D114" s="96"/>
    </row>
    <row r="115" spans="1:4" ht="12.75">
      <c r="A115" s="52" t="s">
        <v>154</v>
      </c>
      <c r="B115" s="41" t="s">
        <v>67</v>
      </c>
      <c r="C115" s="40">
        <v>2</v>
      </c>
      <c r="D115" s="96"/>
    </row>
    <row r="116" spans="1:4" ht="12.75">
      <c r="A116" s="49" t="s">
        <v>157</v>
      </c>
      <c r="B116" s="36"/>
      <c r="C116" s="36"/>
      <c r="D116" s="45"/>
    </row>
    <row r="117" spans="1:4" ht="12.75">
      <c r="A117" s="51" t="s">
        <v>158</v>
      </c>
      <c r="B117" s="40" t="s">
        <v>67</v>
      </c>
      <c r="C117" s="41">
        <f>7</f>
        <v>7</v>
      </c>
      <c r="D117" s="96"/>
    </row>
    <row r="118" spans="1:4" ht="12.75">
      <c r="A118" s="80" t="s">
        <v>202</v>
      </c>
      <c r="B118" s="41" t="s">
        <v>39</v>
      </c>
      <c r="C118" s="41">
        <v>42</v>
      </c>
      <c r="D118" s="96"/>
    </row>
    <row r="119" spans="1:4" ht="12.75">
      <c r="A119" s="51" t="s">
        <v>247</v>
      </c>
      <c r="B119" s="40" t="s">
        <v>67</v>
      </c>
      <c r="C119" s="40">
        <v>2</v>
      </c>
      <c r="D119" s="96"/>
    </row>
    <row r="120" spans="1:4" ht="12.75">
      <c r="A120" s="49" t="s">
        <v>161</v>
      </c>
      <c r="B120" s="36"/>
      <c r="C120" s="36"/>
      <c r="D120" s="45"/>
    </row>
    <row r="121" spans="1:4" ht="12.75">
      <c r="A121" s="54" t="s">
        <v>162</v>
      </c>
      <c r="B121" s="55" t="s">
        <v>39</v>
      </c>
      <c r="C121" s="182">
        <v>1002.4</v>
      </c>
      <c r="D121" s="68" t="s">
        <v>44</v>
      </c>
    </row>
    <row r="122" spans="1:4" ht="12.75">
      <c r="A122" s="54" t="s">
        <v>163</v>
      </c>
      <c r="B122" s="55" t="s">
        <v>39</v>
      </c>
      <c r="C122" s="182">
        <v>1002.4</v>
      </c>
      <c r="D122" s="89" t="s">
        <v>164</v>
      </c>
    </row>
    <row r="123" spans="1:4" ht="12.75">
      <c r="A123" s="49" t="s">
        <v>165</v>
      </c>
      <c r="B123" s="36"/>
      <c r="C123" s="36"/>
      <c r="D123" s="45"/>
    </row>
    <row r="124" spans="1:4" ht="12.75">
      <c r="A124" s="54" t="s">
        <v>162</v>
      </c>
      <c r="B124" s="55" t="s">
        <v>39</v>
      </c>
      <c r="C124" s="182">
        <f>1002.4+53.76</f>
        <v>1056.16</v>
      </c>
      <c r="D124" s="68" t="s">
        <v>44</v>
      </c>
    </row>
    <row r="125" spans="1:4" ht="12.75">
      <c r="A125" s="54" t="s">
        <v>163</v>
      </c>
      <c r="B125" s="55" t="s">
        <v>39</v>
      </c>
      <c r="C125" s="182">
        <f>1002.4+53.76</f>
        <v>1056.16</v>
      </c>
      <c r="D125" s="89" t="s">
        <v>164</v>
      </c>
    </row>
    <row r="126" spans="1:4" ht="12.75">
      <c r="A126" s="49" t="s">
        <v>166</v>
      </c>
      <c r="B126" s="36"/>
      <c r="C126" s="36"/>
      <c r="D126" s="45"/>
    </row>
    <row r="127" spans="1:4" ht="12.75">
      <c r="A127" s="54" t="s">
        <v>162</v>
      </c>
      <c r="B127" s="55" t="s">
        <v>39</v>
      </c>
      <c r="C127" s="182">
        <f>1002.4+184.7+320.4</f>
        <v>1507.5</v>
      </c>
      <c r="D127" s="47" t="s">
        <v>175</v>
      </c>
    </row>
    <row r="128" spans="1:4" ht="12.75">
      <c r="A128" s="54" t="s">
        <v>163</v>
      </c>
      <c r="B128" s="55" t="s">
        <v>39</v>
      </c>
      <c r="C128" s="182">
        <f>1002.4+184.7+320.4</f>
        <v>1507.5</v>
      </c>
      <c r="D128" s="89" t="s">
        <v>164</v>
      </c>
    </row>
    <row r="131" ht="13.5" customHeight="1"/>
  </sheetData>
  <sheetProtection selectLockedCells="1" selectUnlockedCells="1"/>
  <mergeCells count="27"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5513888888888889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4"/>
  </sheetPr>
  <dimension ref="A1:I134"/>
  <sheetViews>
    <sheetView workbookViewId="0" topLeftCell="A108">
      <selection activeCell="A130" sqref="A130"/>
    </sheetView>
  </sheetViews>
  <sheetFormatPr defaultColWidth="9.00390625" defaultRowHeight="12.75"/>
  <cols>
    <col min="1" max="1" width="49.125" style="0" customWidth="1"/>
    <col min="2" max="2" width="8.75390625" style="0" customWidth="1"/>
    <col min="3" max="3" width="16.125" style="0" customWidth="1"/>
    <col min="4" max="4" width="21.75390625" style="0" customWidth="1"/>
    <col min="6" max="6" width="11.00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654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t="s">
        <v>5</v>
      </c>
      <c r="C7" s="4" t="s">
        <v>312</v>
      </c>
    </row>
    <row r="8" spans="1:3" ht="12.75">
      <c r="A8" t="s">
        <v>7</v>
      </c>
      <c r="C8" s="4" t="s">
        <v>655</v>
      </c>
    </row>
    <row r="9" spans="1:3" ht="12.75">
      <c r="A9" t="s">
        <v>9</v>
      </c>
      <c r="C9" s="7"/>
    </row>
    <row r="10" ht="12.75">
      <c r="C10" s="7"/>
    </row>
    <row r="11" spans="1:3" ht="12.75">
      <c r="A11" t="s">
        <v>11</v>
      </c>
      <c r="C11" s="7" t="s">
        <v>656</v>
      </c>
    </row>
    <row r="12" spans="1:3" ht="12.75">
      <c r="A12" s="1" t="s">
        <v>13</v>
      </c>
      <c r="B12" s="1"/>
      <c r="C12" s="7"/>
    </row>
    <row r="13" spans="1:3" ht="12.75">
      <c r="A13" s="1" t="s">
        <v>14</v>
      </c>
      <c r="B13" s="1"/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18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57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B21" s="1"/>
      <c r="C21" s="7"/>
    </row>
    <row r="22" spans="1:3" ht="12.75">
      <c r="A22" s="1" t="s">
        <v>30</v>
      </c>
      <c r="B22" s="1" t="s">
        <v>31</v>
      </c>
      <c r="C22" s="7"/>
    </row>
    <row r="23" spans="1:3" ht="12.75">
      <c r="A23" s="1"/>
      <c r="B23" s="1"/>
      <c r="C23" s="7"/>
    </row>
    <row r="24" spans="1:3" ht="12.75">
      <c r="A24" t="s">
        <v>32</v>
      </c>
      <c r="C24" s="71">
        <v>0.8454</v>
      </c>
    </row>
    <row r="25" spans="1:3" ht="12.75">
      <c r="A25" s="158"/>
      <c r="C25" s="7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12.7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38.25" customHeight="1">
      <c r="A29" s="13" t="s">
        <v>38</v>
      </c>
      <c r="B29" s="14" t="s">
        <v>39</v>
      </c>
      <c r="C29" s="15">
        <v>507.4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507.4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630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10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29.2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73">
        <v>507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152</v>
      </c>
      <c r="D35" s="16" t="s">
        <v>53</v>
      </c>
    </row>
    <row r="36" spans="1:4" ht="15.75" customHeight="1" hidden="1">
      <c r="A36" s="13" t="s">
        <v>54</v>
      </c>
      <c r="B36" s="17" t="s">
        <v>39</v>
      </c>
      <c r="C36" s="15"/>
      <c r="D36" s="16" t="s">
        <v>233</v>
      </c>
    </row>
    <row r="37" spans="1:4" ht="16.5" customHeight="1" hidden="1">
      <c r="A37" s="13" t="s">
        <v>56</v>
      </c>
      <c r="B37" s="17" t="s">
        <v>39</v>
      </c>
      <c r="C37" s="15"/>
      <c r="D37" s="16" t="s">
        <v>233</v>
      </c>
    </row>
    <row r="38" spans="1:4" ht="12.75" hidden="1">
      <c r="A38" s="13" t="s">
        <v>59</v>
      </c>
      <c r="B38" s="17" t="s">
        <v>39</v>
      </c>
      <c r="C38" s="15"/>
      <c r="D38" s="16" t="s">
        <v>233</v>
      </c>
    </row>
    <row r="39" spans="1:4" ht="14.25" customHeight="1">
      <c r="A39" s="13" t="s">
        <v>61</v>
      </c>
      <c r="B39" s="17" t="s">
        <v>39</v>
      </c>
      <c r="C39" s="15">
        <v>2067.4</v>
      </c>
      <c r="D39" s="16" t="s">
        <v>46</v>
      </c>
    </row>
    <row r="40" spans="1:4" ht="27" customHeight="1">
      <c r="A40" s="13" t="s">
        <v>62</v>
      </c>
      <c r="B40" s="17" t="s">
        <v>39</v>
      </c>
      <c r="C40" s="73">
        <v>507</v>
      </c>
      <c r="D40" s="16" t="s">
        <v>53</v>
      </c>
    </row>
    <row r="41" spans="1:4" ht="15" customHeight="1" hidden="1">
      <c r="A41" s="13" t="s">
        <v>63</v>
      </c>
      <c r="B41" s="17" t="s">
        <v>39</v>
      </c>
      <c r="C41" s="15"/>
      <c r="D41" s="16" t="s">
        <v>233</v>
      </c>
    </row>
    <row r="42" spans="1:4" ht="15" customHeight="1">
      <c r="A42" s="13" t="s">
        <v>64</v>
      </c>
      <c r="B42" s="17" t="s">
        <v>39</v>
      </c>
      <c r="C42" s="15">
        <v>79.28</v>
      </c>
      <c r="D42" s="16" t="s">
        <v>44</v>
      </c>
    </row>
    <row r="43" spans="1:4" ht="31.5" customHeight="1">
      <c r="A43" s="13" t="s">
        <v>65</v>
      </c>
      <c r="B43" s="17" t="s">
        <v>39</v>
      </c>
      <c r="C43" s="15">
        <v>36</v>
      </c>
      <c r="D43" s="16" t="s">
        <v>53</v>
      </c>
    </row>
    <row r="44" spans="1:4" ht="15.75" customHeight="1">
      <c r="A44" s="13" t="s">
        <v>66</v>
      </c>
      <c r="B44" s="17" t="s">
        <v>67</v>
      </c>
      <c r="C44" s="15">
        <v>2</v>
      </c>
      <c r="D44" s="16" t="s">
        <v>60</v>
      </c>
    </row>
    <row r="45" spans="1:4" ht="33" customHeight="1">
      <c r="A45" s="13" t="s">
        <v>68</v>
      </c>
      <c r="B45" s="17" t="s">
        <v>67</v>
      </c>
      <c r="C45" s="15">
        <v>2</v>
      </c>
      <c r="D45" s="16" t="s">
        <v>69</v>
      </c>
    </row>
    <row r="46" spans="1:4" ht="17.25" customHeight="1">
      <c r="A46" s="13" t="s">
        <v>70</v>
      </c>
      <c r="B46" s="17" t="s">
        <v>39</v>
      </c>
      <c r="C46" s="15">
        <v>10</v>
      </c>
      <c r="D46" s="16" t="s">
        <v>71</v>
      </c>
    </row>
    <row r="47" spans="1:4" ht="26.25" customHeight="1">
      <c r="A47" s="13" t="s">
        <v>72</v>
      </c>
      <c r="B47" s="17" t="s">
        <v>39</v>
      </c>
      <c r="C47" s="15">
        <f>1*1.88*8*2</f>
        <v>30.08</v>
      </c>
      <c r="D47" s="16" t="s">
        <v>53</v>
      </c>
    </row>
    <row r="48" spans="1:4" ht="17.25" customHeight="1">
      <c r="A48" s="13" t="s">
        <v>73</v>
      </c>
      <c r="B48" s="17" t="s">
        <v>67</v>
      </c>
      <c r="C48" s="15">
        <v>2</v>
      </c>
      <c r="D48" s="16" t="s">
        <v>44</v>
      </c>
    </row>
    <row r="49" spans="1:4" ht="16.5" customHeight="1">
      <c r="A49" s="13" t="s">
        <v>74</v>
      </c>
      <c r="B49" s="17" t="s">
        <v>39</v>
      </c>
      <c r="C49" s="15">
        <v>1033.7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31.5" customHeight="1">
      <c r="A55" s="13" t="s">
        <v>82</v>
      </c>
      <c r="B55" s="24" t="s">
        <v>79</v>
      </c>
      <c r="C55" s="24"/>
      <c r="D55" s="13" t="s">
        <v>83</v>
      </c>
    </row>
    <row r="56" spans="1:4" ht="30.75" customHeight="1">
      <c r="A56" s="13" t="s">
        <v>84</v>
      </c>
      <c r="B56" s="24" t="s">
        <v>79</v>
      </c>
      <c r="C56" s="24"/>
      <c r="D56" s="13" t="s">
        <v>83</v>
      </c>
    </row>
    <row r="57" spans="1:4" ht="30.75" customHeight="1">
      <c r="A57" s="13" t="s">
        <v>85</v>
      </c>
      <c r="B57" s="24" t="s">
        <v>79</v>
      </c>
      <c r="C57" s="24"/>
      <c r="D57" s="13" t="s">
        <v>86</v>
      </c>
    </row>
    <row r="58" spans="1:4" ht="27.75" customHeight="1">
      <c r="A58" s="13" t="s">
        <v>87</v>
      </c>
      <c r="B58" s="24" t="s">
        <v>79</v>
      </c>
      <c r="C58" s="24"/>
      <c r="D58" s="13" t="s">
        <v>88</v>
      </c>
    </row>
    <row r="59" spans="1:4" ht="28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8.5" customHeight="1">
      <c r="A61" s="13" t="s">
        <v>91</v>
      </c>
      <c r="B61" s="24" t="s">
        <v>79</v>
      </c>
      <c r="C61" s="24"/>
      <c r="D61" s="13" t="s">
        <v>92</v>
      </c>
    </row>
    <row r="62" spans="1:4" ht="25.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7" customHeight="1">
      <c r="A64" s="13" t="s">
        <v>96</v>
      </c>
      <c r="B64" s="24" t="s">
        <v>79</v>
      </c>
      <c r="C64" s="24"/>
      <c r="D64" s="13" t="s">
        <v>88</v>
      </c>
    </row>
    <row r="65" spans="1:4" ht="30.75" customHeight="1">
      <c r="A65" s="13" t="s">
        <v>97</v>
      </c>
      <c r="B65" s="24" t="s">
        <v>79</v>
      </c>
      <c r="C65" s="24"/>
      <c r="D65" s="13" t="s">
        <v>98</v>
      </c>
    </row>
    <row r="66" spans="1:4" ht="27.75" customHeight="1">
      <c r="A66" s="13" t="s">
        <v>99</v>
      </c>
      <c r="B66" s="24" t="s">
        <v>79</v>
      </c>
      <c r="C66" s="24"/>
      <c r="D66" s="13" t="s">
        <v>100</v>
      </c>
    </row>
    <row r="67" spans="1:4" ht="25.5" customHeight="1">
      <c r="A67" s="13" t="s">
        <v>101</v>
      </c>
      <c r="B67" s="24" t="s">
        <v>79</v>
      </c>
      <c r="C67" s="24"/>
      <c r="D67" s="13" t="s">
        <v>88</v>
      </c>
    </row>
    <row r="68" spans="1:4" ht="25.5" customHeight="1">
      <c r="A68" s="13" t="s">
        <v>102</v>
      </c>
      <c r="B68" s="24" t="s">
        <v>79</v>
      </c>
      <c r="C68" s="24"/>
      <c r="D68" s="13" t="s">
        <v>60</v>
      </c>
    </row>
    <row r="69" spans="1:4" ht="25.5" customHeight="1">
      <c r="A69" s="13" t="s">
        <v>103</v>
      </c>
      <c r="B69" s="24" t="s">
        <v>79</v>
      </c>
      <c r="C69" s="24"/>
      <c r="D69" s="13" t="s">
        <v>104</v>
      </c>
    </row>
    <row r="70" spans="1:4" ht="27.7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" customHeight="1">
      <c r="A72" s="13" t="s">
        <v>89</v>
      </c>
      <c r="B72" s="24" t="s">
        <v>79</v>
      </c>
      <c r="C72" s="24"/>
      <c r="D72" s="13" t="s">
        <v>40</v>
      </c>
    </row>
    <row r="73" spans="1:4" ht="27.7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5" ht="27.75" customHeight="1">
      <c r="A75" s="13" t="s">
        <v>111</v>
      </c>
      <c r="B75" s="14" t="s">
        <v>112</v>
      </c>
      <c r="C75" s="15">
        <f>201*1.15*12</f>
        <v>2773.7999999999997</v>
      </c>
      <c r="D75" s="32" t="s">
        <v>69</v>
      </c>
      <c r="E75" s="8"/>
    </row>
    <row r="76" spans="1:4" ht="17.25" customHeight="1">
      <c r="A76" s="13" t="s">
        <v>113</v>
      </c>
      <c r="B76" s="33" t="s">
        <v>112</v>
      </c>
      <c r="C76" s="15">
        <f>0.75*2*2*51</f>
        <v>153</v>
      </c>
      <c r="D76" s="32" t="s">
        <v>114</v>
      </c>
    </row>
    <row r="77" spans="1:9" ht="24.75" customHeight="1">
      <c r="A77" s="13" t="s">
        <v>115</v>
      </c>
      <c r="B77" s="14" t="s">
        <v>67</v>
      </c>
      <c r="C77" s="15">
        <v>2</v>
      </c>
      <c r="D77" s="32" t="s">
        <v>116</v>
      </c>
      <c r="F77" s="159"/>
      <c r="G77" s="97"/>
      <c r="H77" s="97"/>
      <c r="I77" s="97"/>
    </row>
    <row r="78" spans="1:9" ht="12.75" customHeight="1">
      <c r="A78" s="75" t="s">
        <v>117</v>
      </c>
      <c r="B78" s="75"/>
      <c r="C78" s="181"/>
      <c r="D78" s="19"/>
      <c r="F78" s="97"/>
      <c r="G78" s="97"/>
      <c r="H78" s="97"/>
      <c r="I78" s="97"/>
    </row>
    <row r="79" spans="1:9" ht="12.75">
      <c r="A79" s="35" t="s">
        <v>118</v>
      </c>
      <c r="B79" s="36"/>
      <c r="C79" s="38"/>
      <c r="D79" s="38"/>
      <c r="F79" s="97"/>
      <c r="G79" s="97"/>
      <c r="H79" s="97"/>
      <c r="I79" s="97"/>
    </row>
    <row r="80" spans="1:9" ht="12.75">
      <c r="A80" s="39" t="s">
        <v>119</v>
      </c>
      <c r="B80" s="40" t="s">
        <v>39</v>
      </c>
      <c r="C80" s="41">
        <v>19</v>
      </c>
      <c r="D80" s="42"/>
      <c r="F80" s="97"/>
      <c r="G80" s="97"/>
      <c r="H80" s="97"/>
      <c r="I80" s="97"/>
    </row>
    <row r="81" spans="1:9" ht="12.75">
      <c r="A81" s="35" t="s">
        <v>235</v>
      </c>
      <c r="B81" s="36"/>
      <c r="C81" s="36"/>
      <c r="D81" s="45"/>
      <c r="F81" s="97"/>
      <c r="G81" s="97"/>
      <c r="H81" s="97"/>
      <c r="I81" s="97"/>
    </row>
    <row r="82" spans="1:9" ht="12.75">
      <c r="A82" s="88" t="s">
        <v>386</v>
      </c>
      <c r="B82" s="40" t="s">
        <v>39</v>
      </c>
      <c r="C82" s="40">
        <v>0.7</v>
      </c>
      <c r="D82" s="42"/>
      <c r="F82" s="97"/>
      <c r="G82" s="97"/>
      <c r="H82" s="97"/>
      <c r="I82" s="97"/>
    </row>
    <row r="83" spans="1:9" s="1" customFormat="1" ht="12.75">
      <c r="A83" s="43" t="s">
        <v>601</v>
      </c>
      <c r="B83" s="41" t="s">
        <v>133</v>
      </c>
      <c r="C83" s="41">
        <v>25.5</v>
      </c>
      <c r="D83" s="44"/>
      <c r="F83" s="114"/>
      <c r="G83" s="114"/>
      <c r="H83" s="114"/>
      <c r="I83" s="114"/>
    </row>
    <row r="84" spans="1:9" ht="12.75">
      <c r="A84" s="35" t="s">
        <v>467</v>
      </c>
      <c r="B84" s="36"/>
      <c r="C84" s="36"/>
      <c r="D84" s="45"/>
      <c r="F84" s="97"/>
      <c r="G84" s="97"/>
      <c r="H84" s="97"/>
      <c r="I84" s="97"/>
    </row>
    <row r="85" spans="1:9" ht="12.75">
      <c r="A85" s="43" t="s">
        <v>185</v>
      </c>
      <c r="B85" s="46" t="s">
        <v>67</v>
      </c>
      <c r="C85" s="40">
        <f>2</f>
        <v>2</v>
      </c>
      <c r="D85" s="42"/>
      <c r="F85" s="97"/>
      <c r="G85" s="97"/>
      <c r="H85" s="97"/>
      <c r="I85" s="97"/>
    </row>
    <row r="86" spans="1:9" ht="12.75">
      <c r="A86" s="43" t="s">
        <v>128</v>
      </c>
      <c r="B86" s="46" t="s">
        <v>67</v>
      </c>
      <c r="C86" s="41">
        <f>1+1</f>
        <v>2</v>
      </c>
      <c r="D86" s="42"/>
      <c r="F86" s="97"/>
      <c r="G86" s="97"/>
      <c r="H86" s="97"/>
      <c r="I86" s="97"/>
    </row>
    <row r="87" spans="1:9" ht="12.75">
      <c r="A87" s="43" t="s">
        <v>468</v>
      </c>
      <c r="B87" s="40" t="s">
        <v>67</v>
      </c>
      <c r="C87" s="41">
        <v>2</v>
      </c>
      <c r="D87" s="47" t="s">
        <v>130</v>
      </c>
      <c r="F87" s="97"/>
      <c r="G87" s="97"/>
      <c r="H87" s="97"/>
      <c r="I87" s="97"/>
    </row>
    <row r="88" spans="1:9" ht="12.75">
      <c r="A88" s="43" t="s">
        <v>131</v>
      </c>
      <c r="B88" s="40" t="s">
        <v>67</v>
      </c>
      <c r="C88" s="41">
        <v>2</v>
      </c>
      <c r="D88" s="42"/>
      <c r="F88" s="97"/>
      <c r="G88" s="97"/>
      <c r="H88" s="97"/>
      <c r="I88" s="97"/>
    </row>
    <row r="89" spans="1:9" ht="12.75">
      <c r="A89" s="43" t="s">
        <v>495</v>
      </c>
      <c r="B89" s="40" t="s">
        <v>67</v>
      </c>
      <c r="C89" s="41">
        <f>2+3</f>
        <v>5</v>
      </c>
      <c r="D89" s="42"/>
      <c r="F89" s="97"/>
      <c r="G89" s="97"/>
      <c r="H89" s="97"/>
      <c r="I89" s="97"/>
    </row>
    <row r="90" spans="1:9" ht="12.75">
      <c r="A90" s="43" t="s">
        <v>189</v>
      </c>
      <c r="B90" s="40" t="s">
        <v>133</v>
      </c>
      <c r="C90" s="41">
        <f>2</f>
        <v>2</v>
      </c>
      <c r="D90" s="42"/>
      <c r="F90" s="97"/>
      <c r="G90" s="97"/>
      <c r="H90" s="97"/>
      <c r="I90" s="97"/>
    </row>
    <row r="91" spans="1:9" ht="12.75">
      <c r="A91" s="43" t="s">
        <v>190</v>
      </c>
      <c r="B91" s="40" t="s">
        <v>67</v>
      </c>
      <c r="C91" s="41">
        <f>2</f>
        <v>2</v>
      </c>
      <c r="D91" s="42"/>
      <c r="F91" s="97"/>
      <c r="G91" s="97"/>
      <c r="H91" s="97"/>
      <c r="I91" s="97"/>
    </row>
    <row r="92" spans="1:9" ht="12.75">
      <c r="A92" s="43" t="s">
        <v>134</v>
      </c>
      <c r="B92" s="40" t="s">
        <v>39</v>
      </c>
      <c r="C92" s="41">
        <f>0.6+1.8</f>
        <v>2.4</v>
      </c>
      <c r="D92" s="42"/>
      <c r="F92" s="97"/>
      <c r="G92" s="97"/>
      <c r="H92" s="97"/>
      <c r="I92" s="97"/>
    </row>
    <row r="93" spans="1:9" ht="12.75">
      <c r="A93" s="43" t="s">
        <v>277</v>
      </c>
      <c r="B93" s="40" t="s">
        <v>67</v>
      </c>
      <c r="C93" s="41">
        <f>4</f>
        <v>4</v>
      </c>
      <c r="D93" s="42"/>
      <c r="F93" s="97"/>
      <c r="G93" s="97"/>
      <c r="H93" s="97"/>
      <c r="I93" s="97"/>
    </row>
    <row r="94" spans="1:9" ht="12.75">
      <c r="A94" s="43" t="s">
        <v>472</v>
      </c>
      <c r="B94" s="40" t="s">
        <v>67</v>
      </c>
      <c r="C94" s="41">
        <f>2+3+3</f>
        <v>8</v>
      </c>
      <c r="D94" s="42"/>
      <c r="F94" s="97"/>
      <c r="G94" s="97"/>
      <c r="H94" s="97"/>
      <c r="I94" s="97"/>
    </row>
    <row r="95" spans="1:9" ht="12.75">
      <c r="A95" s="88" t="s">
        <v>268</v>
      </c>
      <c r="B95" s="40" t="s">
        <v>67</v>
      </c>
      <c r="C95" s="40">
        <v>2</v>
      </c>
      <c r="D95" s="42"/>
      <c r="F95" s="97"/>
      <c r="G95" s="97"/>
      <c r="H95" s="97"/>
      <c r="I95" s="97"/>
    </row>
    <row r="96" spans="1:9" ht="12.75">
      <c r="A96" s="35" t="s">
        <v>238</v>
      </c>
      <c r="B96" s="36"/>
      <c r="C96" s="36"/>
      <c r="D96" s="45"/>
      <c r="F96" s="97"/>
      <c r="G96" s="97"/>
      <c r="H96" s="97"/>
      <c r="I96" s="97"/>
    </row>
    <row r="97" spans="1:9" ht="12.75">
      <c r="A97" s="43" t="s">
        <v>475</v>
      </c>
      <c r="B97" s="40" t="s">
        <v>133</v>
      </c>
      <c r="C97" s="40">
        <f>15</f>
        <v>15</v>
      </c>
      <c r="D97" s="42"/>
      <c r="F97" s="97"/>
      <c r="G97" s="97"/>
      <c r="H97" s="97"/>
      <c r="I97" s="97"/>
    </row>
    <row r="98" spans="1:9" s="1" customFormat="1" ht="12.75">
      <c r="A98" s="43" t="s">
        <v>653</v>
      </c>
      <c r="B98" s="41" t="s">
        <v>39</v>
      </c>
      <c r="C98" s="41">
        <v>16.2</v>
      </c>
      <c r="D98" s="44"/>
      <c r="F98" s="114"/>
      <c r="G98" s="114"/>
      <c r="H98" s="97"/>
      <c r="I98" s="114"/>
    </row>
    <row r="99" spans="1:9" ht="12.75">
      <c r="A99" s="35" t="s">
        <v>137</v>
      </c>
      <c r="B99" s="48"/>
      <c r="C99" s="36"/>
      <c r="D99" s="45"/>
      <c r="F99" s="97"/>
      <c r="G99" s="97"/>
      <c r="H99" s="97"/>
      <c r="I99" s="97"/>
    </row>
    <row r="100" spans="1:9" ht="12.75">
      <c r="A100" s="39" t="s">
        <v>657</v>
      </c>
      <c r="B100" s="40" t="s">
        <v>122</v>
      </c>
      <c r="C100" s="41">
        <f>1</f>
        <v>1</v>
      </c>
      <c r="D100" s="42"/>
      <c r="F100" s="97"/>
      <c r="G100" s="97"/>
      <c r="H100" s="97"/>
      <c r="I100" s="97"/>
    </row>
    <row r="101" spans="1:9" ht="12.75">
      <c r="A101" s="39" t="s">
        <v>498</v>
      </c>
      <c r="B101" s="40" t="s">
        <v>39</v>
      </c>
      <c r="C101" s="41">
        <f>0.3+0.6</f>
        <v>0.8999999999999999</v>
      </c>
      <c r="D101" s="42"/>
      <c r="F101" s="97"/>
      <c r="G101" s="97"/>
      <c r="H101" s="97"/>
      <c r="I101" s="97"/>
    </row>
    <row r="102" spans="1:9" ht="12.75">
      <c r="A102" s="39" t="s">
        <v>476</v>
      </c>
      <c r="B102" s="40" t="s">
        <v>122</v>
      </c>
      <c r="C102" s="41">
        <v>2</v>
      </c>
      <c r="D102" s="42"/>
      <c r="F102" s="97"/>
      <c r="G102" s="97"/>
      <c r="H102" s="97"/>
      <c r="I102" s="97"/>
    </row>
    <row r="103" spans="1:9" ht="12.75">
      <c r="A103" s="49" t="s">
        <v>141</v>
      </c>
      <c r="B103" s="36"/>
      <c r="C103" s="36"/>
      <c r="D103" s="45"/>
      <c r="F103" s="97"/>
      <c r="G103" s="97"/>
      <c r="H103" s="97"/>
      <c r="I103" s="97"/>
    </row>
    <row r="104" spans="1:9" ht="12.75">
      <c r="A104" s="51" t="s">
        <v>192</v>
      </c>
      <c r="B104" s="41" t="s">
        <v>67</v>
      </c>
      <c r="C104" s="41">
        <f>2+2</f>
        <v>4</v>
      </c>
      <c r="D104" s="42"/>
      <c r="F104" s="97"/>
      <c r="G104" s="97"/>
      <c r="H104" s="97"/>
      <c r="I104" s="97"/>
    </row>
    <row r="105" spans="1:9" ht="12.75">
      <c r="A105" s="39" t="s">
        <v>517</v>
      </c>
      <c r="B105" s="41" t="s">
        <v>67</v>
      </c>
      <c r="C105" s="41">
        <v>2</v>
      </c>
      <c r="D105" s="42"/>
      <c r="F105" s="97"/>
      <c r="G105" s="97"/>
      <c r="H105" s="97"/>
      <c r="I105" s="97"/>
    </row>
    <row r="106" spans="1:9" ht="12.75">
      <c r="A106" s="51" t="s">
        <v>143</v>
      </c>
      <c r="B106" s="40" t="s">
        <v>67</v>
      </c>
      <c r="C106" s="46">
        <f>6</f>
        <v>6</v>
      </c>
      <c r="D106" s="42"/>
      <c r="F106" s="97"/>
      <c r="G106" s="97"/>
      <c r="H106" s="97"/>
      <c r="I106" s="97"/>
    </row>
    <row r="107" spans="1:9" ht="12.75">
      <c r="A107" s="49" t="s">
        <v>145</v>
      </c>
      <c r="B107" s="36"/>
      <c r="C107" s="36"/>
      <c r="D107" s="45"/>
      <c r="F107" s="97"/>
      <c r="G107" s="97"/>
      <c r="H107" s="97"/>
      <c r="I107" s="97"/>
    </row>
    <row r="108" spans="1:9" ht="12.75">
      <c r="A108" s="52" t="s">
        <v>222</v>
      </c>
      <c r="B108" s="41" t="s">
        <v>112</v>
      </c>
      <c r="C108" s="40">
        <v>14</v>
      </c>
      <c r="D108" s="42"/>
      <c r="F108" s="97"/>
      <c r="G108" s="97"/>
      <c r="H108" s="97"/>
      <c r="I108" s="97"/>
    </row>
    <row r="109" spans="1:9" ht="12.75">
      <c r="A109" s="52" t="s">
        <v>149</v>
      </c>
      <c r="B109" s="40" t="s">
        <v>67</v>
      </c>
      <c r="C109" s="40">
        <v>2</v>
      </c>
      <c r="D109" s="42"/>
      <c r="F109" s="97"/>
      <c r="G109" s="97"/>
      <c r="H109" s="97"/>
      <c r="I109" s="97"/>
    </row>
    <row r="110" spans="1:9" ht="12.75">
      <c r="A110" s="52" t="s">
        <v>196</v>
      </c>
      <c r="B110" s="41" t="s">
        <v>67</v>
      </c>
      <c r="C110" s="40">
        <f>8</f>
        <v>8</v>
      </c>
      <c r="D110" s="42"/>
      <c r="F110" s="97"/>
      <c r="G110" s="97"/>
      <c r="H110" s="97"/>
      <c r="I110" s="97"/>
    </row>
    <row r="111" spans="1:9" ht="12.75">
      <c r="A111" s="52" t="s">
        <v>150</v>
      </c>
      <c r="B111" s="41" t="s">
        <v>39</v>
      </c>
      <c r="C111" s="40">
        <v>52</v>
      </c>
      <c r="D111" s="42"/>
      <c r="F111" s="97"/>
      <c r="G111" s="97"/>
      <c r="H111" s="97"/>
      <c r="I111" s="97"/>
    </row>
    <row r="112" spans="1:9" s="1" customFormat="1" ht="12.75">
      <c r="A112" s="80" t="s">
        <v>151</v>
      </c>
      <c r="B112" s="41" t="s">
        <v>39</v>
      </c>
      <c r="C112" s="41">
        <f>1545+240</f>
        <v>1785</v>
      </c>
      <c r="D112" s="68" t="s">
        <v>130</v>
      </c>
      <c r="F112" s="114"/>
      <c r="G112" s="114"/>
      <c r="H112" s="114"/>
      <c r="I112" s="114"/>
    </row>
    <row r="113" spans="1:9" ht="12.75">
      <c r="A113" s="52" t="s">
        <v>152</v>
      </c>
      <c r="B113" s="41" t="s">
        <v>133</v>
      </c>
      <c r="C113" s="40"/>
      <c r="D113" s="42"/>
      <c r="F113" s="97"/>
      <c r="G113" s="97"/>
      <c r="H113" s="97"/>
      <c r="I113" s="97"/>
    </row>
    <row r="114" spans="1:9" ht="12.75">
      <c r="A114" s="53" t="s">
        <v>153</v>
      </c>
      <c r="B114" s="41" t="s">
        <v>67</v>
      </c>
      <c r="C114" s="40">
        <f>7</f>
        <v>7</v>
      </c>
      <c r="D114" s="42"/>
      <c r="F114" s="97"/>
      <c r="G114" s="97"/>
      <c r="H114" s="97"/>
      <c r="I114" s="97"/>
    </row>
    <row r="115" spans="1:9" ht="12.75">
      <c r="A115" s="52" t="s">
        <v>318</v>
      </c>
      <c r="B115" s="41" t="s">
        <v>67</v>
      </c>
      <c r="C115" s="40">
        <f>2+1</f>
        <v>3</v>
      </c>
      <c r="D115" s="42"/>
      <c r="F115" s="97"/>
      <c r="G115" s="97"/>
      <c r="H115" s="97"/>
      <c r="I115" s="97"/>
    </row>
    <row r="116" spans="1:9" ht="12.75">
      <c r="A116" s="49" t="s">
        <v>157</v>
      </c>
      <c r="B116" s="36"/>
      <c r="C116" s="36"/>
      <c r="D116" s="45"/>
      <c r="F116" s="97"/>
      <c r="G116" s="97"/>
      <c r="H116" s="97"/>
      <c r="I116" s="97"/>
    </row>
    <row r="117" spans="1:9" s="1" customFormat="1" ht="12.75">
      <c r="A117" s="80" t="s">
        <v>202</v>
      </c>
      <c r="B117" s="41" t="s">
        <v>39</v>
      </c>
      <c r="C117" s="41">
        <v>64</v>
      </c>
      <c r="D117" s="44"/>
      <c r="F117" s="114"/>
      <c r="G117" s="114"/>
      <c r="H117" s="114"/>
      <c r="I117" s="114"/>
    </row>
    <row r="118" spans="1:9" ht="12.75">
      <c r="A118" s="51" t="s">
        <v>658</v>
      </c>
      <c r="B118" s="40" t="s">
        <v>67</v>
      </c>
      <c r="C118" s="40">
        <v>2</v>
      </c>
      <c r="D118" s="42"/>
      <c r="F118" s="97"/>
      <c r="G118" s="97"/>
      <c r="H118" s="97"/>
      <c r="I118" s="97"/>
    </row>
    <row r="119" spans="1:9" ht="12.75">
      <c r="A119" s="49" t="s">
        <v>161</v>
      </c>
      <c r="B119" s="36"/>
      <c r="C119" s="36"/>
      <c r="D119" s="45"/>
      <c r="F119" s="97"/>
      <c r="G119" s="97"/>
      <c r="H119" s="97"/>
      <c r="I119" s="97"/>
    </row>
    <row r="120" spans="1:9" ht="12.75">
      <c r="A120" s="54" t="s">
        <v>162</v>
      </c>
      <c r="B120" s="55" t="s">
        <v>39</v>
      </c>
      <c r="C120" s="182">
        <v>1033.7</v>
      </c>
      <c r="D120" s="68" t="s">
        <v>44</v>
      </c>
      <c r="F120" s="97"/>
      <c r="G120" s="97"/>
      <c r="H120" s="97"/>
      <c r="I120" s="97"/>
    </row>
    <row r="121" spans="1:9" ht="25.5">
      <c r="A121" s="54" t="s">
        <v>163</v>
      </c>
      <c r="B121" s="55" t="s">
        <v>39</v>
      </c>
      <c r="C121" s="182">
        <v>1033.7</v>
      </c>
      <c r="D121" s="89" t="s">
        <v>164</v>
      </c>
      <c r="F121" s="97"/>
      <c r="G121" s="97"/>
      <c r="H121" s="97"/>
      <c r="I121" s="97"/>
    </row>
    <row r="122" spans="1:9" ht="12.75">
      <c r="A122" s="49" t="s">
        <v>165</v>
      </c>
      <c r="B122" s="36"/>
      <c r="C122" s="36"/>
      <c r="D122" s="45"/>
      <c r="F122" s="97"/>
      <c r="G122" s="97"/>
      <c r="H122" s="97"/>
      <c r="I122" s="97"/>
    </row>
    <row r="123" spans="1:9" ht="12.75">
      <c r="A123" s="54" t="s">
        <v>162</v>
      </c>
      <c r="B123" s="55" t="s">
        <v>39</v>
      </c>
      <c r="C123" s="182">
        <f>1033.7+53.76</f>
        <v>1087.46</v>
      </c>
      <c r="D123" s="68" t="s">
        <v>44</v>
      </c>
      <c r="F123" s="97"/>
      <c r="G123" s="97"/>
      <c r="H123" s="97"/>
      <c r="I123" s="97"/>
    </row>
    <row r="124" spans="1:9" ht="12.75">
      <c r="A124" s="54" t="s">
        <v>163</v>
      </c>
      <c r="B124" s="55" t="s">
        <v>39</v>
      </c>
      <c r="C124" s="182">
        <f>1033.7+53.76</f>
        <v>1087.46</v>
      </c>
      <c r="D124" s="89" t="s">
        <v>164</v>
      </c>
      <c r="F124" s="97"/>
      <c r="G124" s="97"/>
      <c r="H124" s="97"/>
      <c r="I124" s="97"/>
    </row>
    <row r="125" spans="1:9" ht="12.75">
      <c r="A125" s="49" t="s">
        <v>166</v>
      </c>
      <c r="B125" s="36"/>
      <c r="C125" s="36"/>
      <c r="D125" s="45"/>
      <c r="F125" s="97"/>
      <c r="G125" s="97"/>
      <c r="H125" s="97"/>
      <c r="I125" s="97"/>
    </row>
    <row r="126" spans="1:9" ht="12.75">
      <c r="A126" s="54" t="s">
        <v>162</v>
      </c>
      <c r="B126" s="55" t="s">
        <v>39</v>
      </c>
      <c r="C126" s="182">
        <f>1033.7+178.5+436</f>
        <v>1648.2</v>
      </c>
      <c r="D126" s="47" t="s">
        <v>175</v>
      </c>
      <c r="F126" s="97"/>
      <c r="G126" s="97"/>
      <c r="H126" s="97"/>
      <c r="I126" s="97"/>
    </row>
    <row r="127" spans="1:9" ht="12.75">
      <c r="A127" s="54" t="s">
        <v>163</v>
      </c>
      <c r="B127" s="55" t="s">
        <v>39</v>
      </c>
      <c r="C127" s="182">
        <f>1033.7+178.5+436</f>
        <v>1648.2</v>
      </c>
      <c r="D127" s="89" t="s">
        <v>164</v>
      </c>
      <c r="F127" s="97"/>
      <c r="G127" s="97"/>
      <c r="H127" s="97"/>
      <c r="I127" s="97"/>
    </row>
    <row r="128" spans="6:9" ht="12.75">
      <c r="F128" s="97"/>
      <c r="G128" s="97"/>
      <c r="H128" s="97"/>
      <c r="I128" s="97"/>
    </row>
    <row r="129" spans="6:9" ht="12.75">
      <c r="F129" s="97"/>
      <c r="G129" s="97"/>
      <c r="H129" s="97"/>
      <c r="I129" s="97"/>
    </row>
    <row r="130" spans="6:9" ht="12.75">
      <c r="F130" s="97"/>
      <c r="G130" s="97"/>
      <c r="H130" s="97"/>
      <c r="I130" s="97"/>
    </row>
    <row r="131" spans="6:9" ht="12.75">
      <c r="F131" s="97"/>
      <c r="G131" s="97"/>
      <c r="H131" s="97"/>
      <c r="I131" s="97"/>
    </row>
    <row r="132" spans="6:9" ht="12.75">
      <c r="F132" s="97"/>
      <c r="G132" s="97"/>
      <c r="H132" s="97"/>
      <c r="I132" s="97"/>
    </row>
    <row r="133" spans="6:9" ht="12.75">
      <c r="F133" s="97"/>
      <c r="G133" s="97"/>
      <c r="H133" s="97"/>
      <c r="I133" s="97"/>
    </row>
    <row r="134" spans="6:9" ht="12.75">
      <c r="F134" s="97"/>
      <c r="G134" s="97"/>
      <c r="H134" s="97"/>
      <c r="I134" s="97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5513888888888889" right="0.3541666666666667" top="0.7875" bottom="0.5902777777777778" header="0.5118055555555555" footer="0.5118055555555555"/>
  <pageSetup horizontalDpi="300" verticalDpi="300" orientation="portrait" paperSize="9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4"/>
  </sheetPr>
  <dimension ref="A1:F133"/>
  <sheetViews>
    <sheetView tabSelected="1" workbookViewId="0" topLeftCell="A73">
      <selection activeCell="E18" sqref="E18"/>
    </sheetView>
  </sheetViews>
  <sheetFormatPr defaultColWidth="9.00390625" defaultRowHeight="12.75"/>
  <cols>
    <col min="1" max="1" width="45.875" style="0" customWidth="1"/>
    <col min="2" max="2" width="8.875" style="0" customWidth="1"/>
    <col min="3" max="3" width="11.50390625" style="0" customWidth="1"/>
    <col min="4" max="4" width="17.875" style="0" customWidth="1"/>
    <col min="6" max="6" width="10.37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659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97" t="s">
        <v>5</v>
      </c>
      <c r="C7" s="4" t="s">
        <v>660</v>
      </c>
    </row>
    <row r="8" spans="1:3" ht="12.75">
      <c r="A8" s="197" t="s">
        <v>7</v>
      </c>
      <c r="C8" s="4" t="s">
        <v>661</v>
      </c>
    </row>
    <row r="9" spans="1:3" ht="12.75">
      <c r="A9" s="197" t="s">
        <v>9</v>
      </c>
      <c r="C9" s="7" t="s">
        <v>662</v>
      </c>
    </row>
    <row r="10" spans="1:3" ht="12.75">
      <c r="A10" s="197"/>
      <c r="C10" s="7"/>
    </row>
    <row r="11" spans="1:3" ht="12.75">
      <c r="A11" s="197" t="s">
        <v>11</v>
      </c>
      <c r="C11" s="7" t="s">
        <v>663</v>
      </c>
    </row>
    <row r="12" spans="1:3" ht="12.75">
      <c r="A12" s="197" t="s">
        <v>13</v>
      </c>
      <c r="B12" s="1"/>
      <c r="C12" s="7"/>
    </row>
    <row r="13" spans="1:3" ht="12.75">
      <c r="A13" s="197" t="s">
        <v>14</v>
      </c>
      <c r="B13" s="1"/>
      <c r="C13" s="7"/>
    </row>
    <row r="14" spans="1:3" ht="12.75">
      <c r="A14" s="197" t="s">
        <v>15</v>
      </c>
      <c r="B14" s="1" t="s">
        <v>16</v>
      </c>
      <c r="C14" s="7"/>
    </row>
    <row r="15" spans="1:3" ht="12.75">
      <c r="A15" s="197" t="s">
        <v>17</v>
      </c>
      <c r="B15" s="1" t="s">
        <v>231</v>
      </c>
      <c r="C15" s="7"/>
    </row>
    <row r="16" spans="1:3" ht="12.75">
      <c r="A16" s="197" t="s">
        <v>19</v>
      </c>
      <c r="B16" s="1" t="s">
        <v>20</v>
      </c>
      <c r="C16" s="7"/>
    </row>
    <row r="17" spans="1:3" ht="12.75">
      <c r="A17" s="197" t="s">
        <v>21</v>
      </c>
      <c r="B17" s="1" t="s">
        <v>22</v>
      </c>
      <c r="C17" s="7"/>
    </row>
    <row r="18" spans="1:3" ht="12.75">
      <c r="A18" s="197" t="s">
        <v>23</v>
      </c>
      <c r="B18" s="1" t="s">
        <v>232</v>
      </c>
      <c r="C18" s="7"/>
    </row>
    <row r="19" spans="1:3" ht="12.75">
      <c r="A19" s="197" t="s">
        <v>25</v>
      </c>
      <c r="B19" s="1" t="s">
        <v>26</v>
      </c>
      <c r="C19" s="7"/>
    </row>
    <row r="20" spans="1:3" ht="12.75">
      <c r="A20" s="197" t="s">
        <v>27</v>
      </c>
      <c r="B20" s="1" t="s">
        <v>28</v>
      </c>
      <c r="C20" s="7"/>
    </row>
    <row r="21" spans="1:3" ht="12.75">
      <c r="A21" s="197" t="s">
        <v>29</v>
      </c>
      <c r="B21" s="1"/>
      <c r="C21" s="7"/>
    </row>
    <row r="22" spans="1:3" ht="12.75">
      <c r="A22" s="197" t="s">
        <v>30</v>
      </c>
      <c r="B22" s="1" t="s">
        <v>31</v>
      </c>
      <c r="C22" s="7"/>
    </row>
    <row r="23" spans="1:3" ht="12.75">
      <c r="A23" s="197"/>
      <c r="C23" s="83"/>
    </row>
    <row r="24" spans="1:3" ht="12.75">
      <c r="A24" s="197" t="s">
        <v>32</v>
      </c>
      <c r="C24" s="71">
        <v>0.8924</v>
      </c>
    </row>
    <row r="25" spans="1:3" ht="12.75">
      <c r="A25" s="198"/>
      <c r="C25" s="199"/>
    </row>
    <row r="26" spans="1:3" ht="25.5" customHeight="1">
      <c r="A26" s="10" t="s">
        <v>33</v>
      </c>
      <c r="B26" s="10"/>
      <c r="C26" s="10"/>
    </row>
    <row r="27" spans="1:3" ht="12.75">
      <c r="A27" s="163"/>
      <c r="B27" s="163"/>
      <c r="C27" s="163"/>
    </row>
    <row r="28" spans="1:4" ht="51.75" customHeight="1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 customHeight="1">
      <c r="A29" s="13" t="s">
        <v>38</v>
      </c>
      <c r="B29" s="14" t="s">
        <v>39</v>
      </c>
      <c r="C29" s="15">
        <v>722</v>
      </c>
      <c r="D29" s="16" t="s">
        <v>40</v>
      </c>
    </row>
    <row r="30" spans="1:4" ht="15" customHeight="1">
      <c r="A30" s="13" t="s">
        <v>41</v>
      </c>
      <c r="B30" s="14" t="s">
        <v>39</v>
      </c>
      <c r="C30" s="15">
        <v>722</v>
      </c>
      <c r="D30" s="16" t="s">
        <v>42</v>
      </c>
    </row>
    <row r="31" spans="1:4" ht="12.75">
      <c r="A31" s="13" t="s">
        <v>43</v>
      </c>
      <c r="B31" s="14" t="s">
        <v>39</v>
      </c>
      <c r="C31" s="15">
        <v>919</v>
      </c>
      <c r="D31" s="16" t="s">
        <v>44</v>
      </c>
    </row>
    <row r="32" spans="1:4" ht="15" customHeight="1">
      <c r="A32" s="13" t="s">
        <v>45</v>
      </c>
      <c r="B32" s="14" t="s">
        <v>39</v>
      </c>
      <c r="C32" s="15">
        <v>15</v>
      </c>
      <c r="D32" s="16" t="s">
        <v>46</v>
      </c>
    </row>
    <row r="33" spans="1:4" ht="25.5" customHeight="1">
      <c r="A33" s="13" t="s">
        <v>47</v>
      </c>
      <c r="B33" s="17" t="s">
        <v>39</v>
      </c>
      <c r="C33" s="15">
        <v>44</v>
      </c>
      <c r="D33" s="16" t="s">
        <v>48</v>
      </c>
    </row>
    <row r="34" spans="1:4" ht="27" customHeight="1">
      <c r="A34" s="13" t="s">
        <v>49</v>
      </c>
      <c r="B34" s="17" t="s">
        <v>50</v>
      </c>
      <c r="C34" s="73">
        <v>722</v>
      </c>
      <c r="D34" s="16" t="s">
        <v>51</v>
      </c>
    </row>
    <row r="35" spans="1:4" ht="26.25" customHeight="1">
      <c r="A35" s="13" t="s">
        <v>52</v>
      </c>
      <c r="B35" s="17" t="s">
        <v>39</v>
      </c>
      <c r="C35" s="15">
        <v>217</v>
      </c>
      <c r="D35" s="16" t="s">
        <v>53</v>
      </c>
    </row>
    <row r="36" spans="1:4" ht="15.75" customHeight="1">
      <c r="A36" s="13" t="s">
        <v>54</v>
      </c>
      <c r="B36" s="17" t="s">
        <v>39</v>
      </c>
      <c r="C36" s="15"/>
      <c r="D36" s="16" t="s">
        <v>233</v>
      </c>
    </row>
    <row r="37" spans="1:4" ht="16.5" customHeight="1">
      <c r="A37" s="13" t="s">
        <v>56</v>
      </c>
      <c r="B37" s="17" t="s">
        <v>39</v>
      </c>
      <c r="C37" s="15"/>
      <c r="D37" s="16" t="s">
        <v>233</v>
      </c>
    </row>
    <row r="38" spans="1:4" ht="12.75">
      <c r="A38" s="13" t="s">
        <v>59</v>
      </c>
      <c r="B38" s="17" t="s">
        <v>39</v>
      </c>
      <c r="C38" s="15"/>
      <c r="D38" s="16" t="s">
        <v>233</v>
      </c>
    </row>
    <row r="39" spans="1:4" ht="14.25" customHeight="1">
      <c r="A39" s="13" t="s">
        <v>61</v>
      </c>
      <c r="B39" s="17" t="s">
        <v>39</v>
      </c>
      <c r="C39" s="15">
        <v>3015.6</v>
      </c>
      <c r="D39" s="16" t="s">
        <v>46</v>
      </c>
    </row>
    <row r="40" spans="1:4" ht="27" customHeight="1">
      <c r="A40" s="13" t="s">
        <v>62</v>
      </c>
      <c r="B40" s="17" t="s">
        <v>39</v>
      </c>
      <c r="C40" s="73">
        <v>722</v>
      </c>
      <c r="D40" s="16" t="s">
        <v>53</v>
      </c>
    </row>
    <row r="41" spans="1:4" ht="15" customHeight="1">
      <c r="A41" s="13" t="s">
        <v>63</v>
      </c>
      <c r="B41" s="17" t="s">
        <v>39</v>
      </c>
      <c r="C41" s="15"/>
      <c r="D41" s="16" t="s">
        <v>233</v>
      </c>
    </row>
    <row r="42" spans="1:4" ht="15" customHeight="1">
      <c r="A42" s="13" t="s">
        <v>64</v>
      </c>
      <c r="B42" s="17" t="s">
        <v>39</v>
      </c>
      <c r="C42" s="15">
        <v>60</v>
      </c>
      <c r="D42" s="16" t="s">
        <v>44</v>
      </c>
    </row>
    <row r="43" spans="1:4" ht="31.5" customHeight="1">
      <c r="A43" s="13" t="s">
        <v>65</v>
      </c>
      <c r="B43" s="17" t="s">
        <v>39</v>
      </c>
      <c r="C43" s="15">
        <v>24</v>
      </c>
      <c r="D43" s="16" t="s">
        <v>53</v>
      </c>
    </row>
    <row r="44" spans="1:4" ht="15.75" customHeight="1">
      <c r="A44" s="13" t="s">
        <v>66</v>
      </c>
      <c r="B44" s="17" t="s">
        <v>67</v>
      </c>
      <c r="C44" s="15">
        <v>3</v>
      </c>
      <c r="D44" s="16" t="s">
        <v>60</v>
      </c>
    </row>
    <row r="45" spans="1:4" ht="33" customHeight="1">
      <c r="A45" s="13" t="s">
        <v>68</v>
      </c>
      <c r="B45" s="17" t="s">
        <v>67</v>
      </c>
      <c r="C45" s="15">
        <v>3</v>
      </c>
      <c r="D45" s="16" t="s">
        <v>69</v>
      </c>
    </row>
    <row r="46" spans="1:4" ht="17.25" customHeight="1">
      <c r="A46" s="13" t="s">
        <v>70</v>
      </c>
      <c r="B46" s="17" t="s">
        <v>39</v>
      </c>
      <c r="C46" s="15">
        <v>15</v>
      </c>
      <c r="D46" s="16" t="s">
        <v>71</v>
      </c>
    </row>
    <row r="47" spans="1:4" ht="26.25" customHeight="1">
      <c r="A47" s="13" t="s">
        <v>72</v>
      </c>
      <c r="B47" s="17" t="s">
        <v>39</v>
      </c>
      <c r="C47" s="15">
        <f>1*1.88*8*3</f>
        <v>45.12</v>
      </c>
      <c r="D47" s="16" t="s">
        <v>53</v>
      </c>
    </row>
    <row r="48" spans="1:4" ht="17.25" customHeight="1">
      <c r="A48" s="13" t="s">
        <v>73</v>
      </c>
      <c r="B48" s="17" t="s">
        <v>67</v>
      </c>
      <c r="C48" s="15">
        <v>3</v>
      </c>
      <c r="D48" s="16" t="s">
        <v>44</v>
      </c>
    </row>
    <row r="49" spans="1:4" ht="16.5" customHeight="1">
      <c r="A49" s="13" t="s">
        <v>74</v>
      </c>
      <c r="B49" s="17" t="s">
        <v>39</v>
      </c>
      <c r="C49" s="15">
        <v>1507.8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31.5" customHeight="1">
      <c r="A55" s="13" t="s">
        <v>82</v>
      </c>
      <c r="B55" s="24" t="s">
        <v>79</v>
      </c>
      <c r="C55" s="24"/>
      <c r="D55" s="13" t="s">
        <v>83</v>
      </c>
    </row>
    <row r="56" spans="1:4" ht="30.75" customHeight="1">
      <c r="A56" s="13" t="s">
        <v>84</v>
      </c>
      <c r="B56" s="24" t="s">
        <v>79</v>
      </c>
      <c r="C56" s="24"/>
      <c r="D56" s="13" t="s">
        <v>83</v>
      </c>
    </row>
    <row r="57" spans="1:4" ht="30.75" customHeight="1">
      <c r="A57" s="13" t="s">
        <v>85</v>
      </c>
      <c r="B57" s="24" t="s">
        <v>79</v>
      </c>
      <c r="C57" s="24"/>
      <c r="D57" s="13" t="s">
        <v>86</v>
      </c>
    </row>
    <row r="58" spans="1:4" ht="29.25" customHeight="1">
      <c r="A58" s="13" t="s">
        <v>87</v>
      </c>
      <c r="B58" s="24" t="s">
        <v>79</v>
      </c>
      <c r="C58" s="24"/>
      <c r="D58" s="13" t="s">
        <v>88</v>
      </c>
    </row>
    <row r="59" spans="1:4" ht="28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8.5" customHeight="1">
      <c r="A61" s="13" t="s">
        <v>91</v>
      </c>
      <c r="B61" s="24" t="s">
        <v>79</v>
      </c>
      <c r="C61" s="24"/>
      <c r="D61" s="13" t="s">
        <v>92</v>
      </c>
    </row>
    <row r="62" spans="1:4" ht="28.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5.5" customHeight="1">
      <c r="A64" s="13" t="s">
        <v>96</v>
      </c>
      <c r="B64" s="24" t="s">
        <v>79</v>
      </c>
      <c r="C64" s="24"/>
      <c r="D64" s="13" t="s">
        <v>88</v>
      </c>
    </row>
    <row r="65" spans="1:4" ht="30.75" customHeight="1">
      <c r="A65" s="13" t="s">
        <v>97</v>
      </c>
      <c r="B65" s="24" t="s">
        <v>79</v>
      </c>
      <c r="C65" s="24"/>
      <c r="D65" s="13" t="s">
        <v>98</v>
      </c>
    </row>
    <row r="66" spans="1:4" ht="27.75" customHeight="1">
      <c r="A66" s="13" t="s">
        <v>99</v>
      </c>
      <c r="B66" s="24" t="s">
        <v>79</v>
      </c>
      <c r="C66" s="24"/>
      <c r="D66" s="13" t="s">
        <v>100</v>
      </c>
    </row>
    <row r="67" spans="1:4" ht="26.25" customHeight="1">
      <c r="A67" s="13" t="s">
        <v>101</v>
      </c>
      <c r="B67" s="24" t="s">
        <v>79</v>
      </c>
      <c r="C67" s="24"/>
      <c r="D67" s="13" t="s">
        <v>88</v>
      </c>
    </row>
    <row r="68" spans="1:4" ht="25.5" customHeight="1">
      <c r="A68" s="13" t="s">
        <v>102</v>
      </c>
      <c r="B68" s="24" t="s">
        <v>79</v>
      </c>
      <c r="C68" s="24"/>
      <c r="D68" s="13" t="s">
        <v>60</v>
      </c>
    </row>
    <row r="69" spans="1:4" ht="26.25" customHeight="1">
      <c r="A69" s="13" t="s">
        <v>103</v>
      </c>
      <c r="B69" s="24" t="s">
        <v>79</v>
      </c>
      <c r="C69" s="24"/>
      <c r="D69" s="13" t="s">
        <v>104</v>
      </c>
    </row>
    <row r="70" spans="1:4" ht="27.7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.75" customHeight="1">
      <c r="A72" s="13" t="s">
        <v>89</v>
      </c>
      <c r="B72" s="24" t="s">
        <v>79</v>
      </c>
      <c r="C72" s="24"/>
      <c r="D72" s="13" t="s">
        <v>40</v>
      </c>
    </row>
    <row r="73" spans="1:4" ht="27.7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5" ht="27.75" customHeight="1">
      <c r="A75" s="13" t="s">
        <v>111</v>
      </c>
      <c r="B75" s="14" t="s">
        <v>112</v>
      </c>
      <c r="C75" s="15">
        <f>225*1.15*12</f>
        <v>3105</v>
      </c>
      <c r="D75" s="74" t="s">
        <v>69</v>
      </c>
      <c r="E75" s="8"/>
    </row>
    <row r="76" spans="1:4" ht="17.25" customHeight="1">
      <c r="A76" s="13" t="s">
        <v>113</v>
      </c>
      <c r="B76" s="33" t="s">
        <v>112</v>
      </c>
      <c r="C76" s="15">
        <f>0.75*3*2*51</f>
        <v>229.5</v>
      </c>
      <c r="D76" s="74" t="s">
        <v>114</v>
      </c>
    </row>
    <row r="77" spans="1:6" ht="24.75" customHeight="1">
      <c r="A77" s="13" t="s">
        <v>115</v>
      </c>
      <c r="B77" s="14" t="s">
        <v>67</v>
      </c>
      <c r="C77" s="15">
        <v>3</v>
      </c>
      <c r="D77" s="74" t="s">
        <v>116</v>
      </c>
      <c r="F77" s="159"/>
    </row>
    <row r="78" spans="1:4" ht="12.75" customHeight="1">
      <c r="A78" s="18" t="s">
        <v>117</v>
      </c>
      <c r="B78" s="18"/>
      <c r="C78" s="181"/>
      <c r="D78" s="19"/>
    </row>
    <row r="79" spans="1:4" ht="12.75">
      <c r="A79" s="35" t="s">
        <v>118</v>
      </c>
      <c r="B79" s="36"/>
      <c r="C79" s="38"/>
      <c r="D79" s="38"/>
    </row>
    <row r="80" spans="1:4" ht="12.75">
      <c r="A80" s="39" t="s">
        <v>119</v>
      </c>
      <c r="B80" s="40" t="s">
        <v>39</v>
      </c>
      <c r="C80" s="41">
        <f>6+3+1.2+4.6</f>
        <v>14.799999999999999</v>
      </c>
      <c r="D80" s="42"/>
    </row>
    <row r="81" spans="1:4" ht="12.75">
      <c r="A81" s="39" t="s">
        <v>121</v>
      </c>
      <c r="B81" s="40" t="s">
        <v>122</v>
      </c>
      <c r="C81" s="41">
        <f>1</f>
        <v>1</v>
      </c>
      <c r="D81" s="42"/>
    </row>
    <row r="82" spans="1:4" ht="12.75">
      <c r="A82" s="39" t="s">
        <v>265</v>
      </c>
      <c r="B82" s="40" t="s">
        <v>67</v>
      </c>
      <c r="C82" s="40">
        <f>14+28</f>
        <v>42</v>
      </c>
      <c r="D82" s="42"/>
    </row>
    <row r="83" spans="1:4" ht="12.75">
      <c r="A83" s="39" t="s">
        <v>493</v>
      </c>
      <c r="B83" s="40" t="s">
        <v>67</v>
      </c>
      <c r="C83" s="40">
        <v>21</v>
      </c>
      <c r="D83" s="42"/>
    </row>
    <row r="84" spans="1:4" ht="12.75">
      <c r="A84" s="35" t="s">
        <v>235</v>
      </c>
      <c r="B84" s="36"/>
      <c r="C84" s="36"/>
      <c r="D84" s="45"/>
    </row>
    <row r="85" spans="1:4" ht="12.75">
      <c r="A85" s="39" t="s">
        <v>514</v>
      </c>
      <c r="B85" s="40" t="s">
        <v>67</v>
      </c>
      <c r="C85" s="41">
        <f>3+5</f>
        <v>8</v>
      </c>
      <c r="D85" s="42"/>
    </row>
    <row r="86" spans="1:4" ht="12.75">
      <c r="A86" s="39" t="s">
        <v>300</v>
      </c>
      <c r="B86" s="40" t="s">
        <v>67</v>
      </c>
      <c r="C86" s="41">
        <f>8</f>
        <v>8</v>
      </c>
      <c r="D86" s="42"/>
    </row>
    <row r="87" spans="1:4" ht="12.75">
      <c r="A87" s="88" t="s">
        <v>386</v>
      </c>
      <c r="B87" s="40" t="s">
        <v>67</v>
      </c>
      <c r="C87" s="84">
        <v>3</v>
      </c>
      <c r="D87" s="42"/>
    </row>
    <row r="88" spans="1:4" ht="12.75">
      <c r="A88" s="88" t="s">
        <v>572</v>
      </c>
      <c r="B88" s="40" t="s">
        <v>39</v>
      </c>
      <c r="C88" s="84">
        <v>15</v>
      </c>
      <c r="D88" s="42"/>
    </row>
    <row r="89" spans="1:4" ht="12.75">
      <c r="A89" s="43" t="s">
        <v>602</v>
      </c>
      <c r="B89" s="41" t="s">
        <v>122</v>
      </c>
      <c r="C89" s="40">
        <f>1+1</f>
        <v>2</v>
      </c>
      <c r="D89" s="42"/>
    </row>
    <row r="90" spans="1:4" ht="12.75">
      <c r="A90" s="35" t="s">
        <v>467</v>
      </c>
      <c r="B90" s="36"/>
      <c r="C90" s="36"/>
      <c r="D90" s="45"/>
    </row>
    <row r="91" spans="1:4" ht="12.75">
      <c r="A91" s="43" t="s">
        <v>128</v>
      </c>
      <c r="B91" s="46" t="s">
        <v>67</v>
      </c>
      <c r="C91" s="41">
        <v>3</v>
      </c>
      <c r="D91" s="47" t="s">
        <v>130</v>
      </c>
    </row>
    <row r="92" spans="1:4" ht="12.75">
      <c r="A92" s="43" t="s">
        <v>468</v>
      </c>
      <c r="B92" s="40" t="s">
        <v>67</v>
      </c>
      <c r="C92" s="41">
        <v>3</v>
      </c>
      <c r="D92" s="47" t="s">
        <v>186</v>
      </c>
    </row>
    <row r="93" spans="1:4" ht="12.75">
      <c r="A93" s="43" t="s">
        <v>131</v>
      </c>
      <c r="B93" s="40" t="s">
        <v>67</v>
      </c>
      <c r="C93" s="41">
        <f>1+1+1</f>
        <v>3</v>
      </c>
      <c r="D93" s="42"/>
    </row>
    <row r="94" spans="1:4" ht="12.75">
      <c r="A94" s="43" t="s">
        <v>266</v>
      </c>
      <c r="B94" s="46" t="s">
        <v>302</v>
      </c>
      <c r="C94" s="41">
        <f>1</f>
        <v>1</v>
      </c>
      <c r="D94" s="42"/>
    </row>
    <row r="95" spans="1:4" ht="12.75">
      <c r="A95" s="43" t="s">
        <v>495</v>
      </c>
      <c r="B95" s="40" t="s">
        <v>67</v>
      </c>
      <c r="C95" s="41">
        <f>1</f>
        <v>1</v>
      </c>
      <c r="D95" s="42"/>
    </row>
    <row r="96" spans="1:4" ht="12.75">
      <c r="A96" s="43" t="s">
        <v>189</v>
      </c>
      <c r="B96" s="40" t="s">
        <v>133</v>
      </c>
      <c r="C96" s="41">
        <f>6</f>
        <v>6</v>
      </c>
      <c r="D96" s="42"/>
    </row>
    <row r="97" spans="1:4" ht="12.75">
      <c r="A97" s="43" t="s">
        <v>134</v>
      </c>
      <c r="B97" s="40" t="s">
        <v>39</v>
      </c>
      <c r="C97" s="41">
        <f>1+2+0.6+0.5</f>
        <v>4.1</v>
      </c>
      <c r="D97" s="42"/>
    </row>
    <row r="98" spans="1:4" ht="12.75">
      <c r="A98" s="43" t="s">
        <v>277</v>
      </c>
      <c r="B98" s="40" t="s">
        <v>67</v>
      </c>
      <c r="C98" s="41">
        <v>10</v>
      </c>
      <c r="D98" s="42"/>
    </row>
    <row r="99" spans="1:4" ht="12.75">
      <c r="A99" s="88" t="s">
        <v>664</v>
      </c>
      <c r="B99" s="40" t="s">
        <v>67</v>
      </c>
      <c r="C99" s="40">
        <v>3</v>
      </c>
      <c r="D99" s="42"/>
    </row>
    <row r="100" spans="1:4" ht="12.75">
      <c r="A100" s="35" t="s">
        <v>238</v>
      </c>
      <c r="B100" s="36"/>
      <c r="C100" s="36"/>
      <c r="D100" s="45"/>
    </row>
    <row r="101" spans="1:4" ht="12.75">
      <c r="A101" s="43" t="s">
        <v>475</v>
      </c>
      <c r="B101" s="40" t="s">
        <v>133</v>
      </c>
      <c r="C101" s="40">
        <f>14+24.9+11.3+16.5+8+12+12</f>
        <v>98.7</v>
      </c>
      <c r="D101" s="42"/>
    </row>
    <row r="102" spans="1:4" ht="12.75">
      <c r="A102" s="35" t="s">
        <v>213</v>
      </c>
      <c r="B102" s="36"/>
      <c r="C102" s="36"/>
      <c r="D102" s="45"/>
    </row>
    <row r="103" spans="1:4" ht="12.75">
      <c r="A103" s="43" t="s">
        <v>184</v>
      </c>
      <c r="B103" s="41" t="s">
        <v>39</v>
      </c>
      <c r="C103" s="41">
        <v>5</v>
      </c>
      <c r="D103" s="42"/>
    </row>
    <row r="104" spans="1:4" ht="12.75">
      <c r="A104" s="49" t="s">
        <v>141</v>
      </c>
      <c r="B104" s="36"/>
      <c r="C104" s="36"/>
      <c r="D104" s="45"/>
    </row>
    <row r="105" spans="1:4" ht="12.75">
      <c r="A105" s="51" t="s">
        <v>216</v>
      </c>
      <c r="B105" s="41" t="s">
        <v>67</v>
      </c>
      <c r="C105" s="41">
        <f>1</f>
        <v>1</v>
      </c>
      <c r="D105" s="42"/>
    </row>
    <row r="106" spans="1:4" s="1" customFormat="1" ht="12.75">
      <c r="A106" s="51" t="s">
        <v>242</v>
      </c>
      <c r="B106" s="41" t="s">
        <v>67</v>
      </c>
      <c r="C106" s="41">
        <v>3</v>
      </c>
      <c r="D106" s="47" t="s">
        <v>290</v>
      </c>
    </row>
    <row r="107" spans="1:4" ht="12.75">
      <c r="A107" s="39" t="s">
        <v>517</v>
      </c>
      <c r="B107" s="41" t="s">
        <v>67</v>
      </c>
      <c r="C107" s="41">
        <v>3</v>
      </c>
      <c r="D107" s="42"/>
    </row>
    <row r="108" spans="1:4" ht="12.75">
      <c r="A108" s="51" t="s">
        <v>143</v>
      </c>
      <c r="B108" s="40" t="s">
        <v>67</v>
      </c>
      <c r="C108" s="46">
        <f>12</f>
        <v>12</v>
      </c>
      <c r="D108" s="42"/>
    </row>
    <row r="109" spans="1:4" ht="12.75">
      <c r="A109" s="49" t="s">
        <v>145</v>
      </c>
      <c r="B109" s="36"/>
      <c r="C109" s="36"/>
      <c r="D109" s="45"/>
    </row>
    <row r="110" spans="1:4" ht="12.75">
      <c r="A110" s="52" t="s">
        <v>194</v>
      </c>
      <c r="B110" s="41" t="s">
        <v>133</v>
      </c>
      <c r="C110" s="40">
        <f>2.8</f>
        <v>2.8</v>
      </c>
      <c r="D110" s="42"/>
    </row>
    <row r="111" spans="1:4" ht="12.75">
      <c r="A111" s="52" t="s">
        <v>148</v>
      </c>
      <c r="B111" s="40" t="s">
        <v>67</v>
      </c>
      <c r="C111" s="40">
        <v>1</v>
      </c>
      <c r="D111" s="42"/>
    </row>
    <row r="112" spans="1:4" ht="12.75">
      <c r="A112" s="52" t="s">
        <v>149</v>
      </c>
      <c r="B112" s="40" t="s">
        <v>67</v>
      </c>
      <c r="C112" s="40">
        <v>3</v>
      </c>
      <c r="D112" s="42"/>
    </row>
    <row r="113" spans="1:4" ht="12.75">
      <c r="A113" s="52" t="s">
        <v>196</v>
      </c>
      <c r="B113" s="41" t="s">
        <v>67</v>
      </c>
      <c r="C113" s="40">
        <v>6</v>
      </c>
      <c r="D113" s="42"/>
    </row>
    <row r="114" spans="1:4" ht="12.75">
      <c r="A114" s="52" t="s">
        <v>151</v>
      </c>
      <c r="B114" s="41" t="s">
        <v>39</v>
      </c>
      <c r="C114" s="40">
        <v>2700</v>
      </c>
      <c r="D114" s="47" t="s">
        <v>130</v>
      </c>
    </row>
    <row r="115" spans="1:4" ht="12.75">
      <c r="A115" s="52" t="s">
        <v>152</v>
      </c>
      <c r="B115" s="41" t="s">
        <v>133</v>
      </c>
      <c r="C115" s="40"/>
      <c r="D115" s="42"/>
    </row>
    <row r="116" spans="1:4" ht="12.75">
      <c r="A116" s="53" t="s">
        <v>153</v>
      </c>
      <c r="B116" s="41" t="s">
        <v>67</v>
      </c>
      <c r="C116" s="40">
        <f>31</f>
        <v>31</v>
      </c>
      <c r="D116" s="42"/>
    </row>
    <row r="117" spans="1:4" ht="12.75">
      <c r="A117" s="52" t="s">
        <v>595</v>
      </c>
      <c r="B117" s="41" t="s">
        <v>67</v>
      </c>
      <c r="C117" s="40">
        <v>1</v>
      </c>
      <c r="D117" s="42"/>
    </row>
    <row r="118" spans="1:4" ht="12.75">
      <c r="A118" s="52" t="s">
        <v>318</v>
      </c>
      <c r="B118" s="41" t="s">
        <v>67</v>
      </c>
      <c r="C118" s="40">
        <f>1</f>
        <v>1</v>
      </c>
      <c r="D118" s="42"/>
    </row>
    <row r="119" spans="1:4" ht="12.75">
      <c r="A119" s="52" t="s">
        <v>154</v>
      </c>
      <c r="B119" s="41" t="s">
        <v>67</v>
      </c>
      <c r="C119" s="40">
        <v>2</v>
      </c>
      <c r="D119" s="42"/>
    </row>
    <row r="120" spans="1:4" ht="12.75">
      <c r="A120" s="49" t="s">
        <v>157</v>
      </c>
      <c r="B120" s="36"/>
      <c r="C120" s="36"/>
      <c r="D120" s="45"/>
    </row>
    <row r="121" spans="1:4" ht="12.75">
      <c r="A121" s="51" t="s">
        <v>158</v>
      </c>
      <c r="B121" s="40" t="s">
        <v>67</v>
      </c>
      <c r="C121" s="41">
        <f>9+10</f>
        <v>19</v>
      </c>
      <c r="D121" s="42"/>
    </row>
    <row r="122" spans="1:4" s="1" customFormat="1" ht="12.75">
      <c r="A122" s="80" t="s">
        <v>202</v>
      </c>
      <c r="B122" s="41" t="s">
        <v>39</v>
      </c>
      <c r="C122" s="41">
        <v>100</v>
      </c>
      <c r="D122" s="44"/>
    </row>
    <row r="123" spans="1:4" ht="12.75">
      <c r="A123" s="51" t="s">
        <v>246</v>
      </c>
      <c r="B123" s="40" t="s">
        <v>122</v>
      </c>
      <c r="C123" s="40">
        <f>1</f>
        <v>1</v>
      </c>
      <c r="D123" s="42"/>
    </row>
    <row r="124" spans="1:4" ht="12.75">
      <c r="A124" s="51" t="s">
        <v>627</v>
      </c>
      <c r="B124" s="40" t="s">
        <v>67</v>
      </c>
      <c r="C124" s="40">
        <v>3</v>
      </c>
      <c r="D124" s="42"/>
    </row>
    <row r="125" spans="1:4" ht="12.75">
      <c r="A125" s="49" t="s">
        <v>161</v>
      </c>
      <c r="B125" s="36"/>
      <c r="C125" s="36"/>
      <c r="D125" s="45"/>
    </row>
    <row r="126" spans="1:4" ht="12.75">
      <c r="A126" s="54" t="s">
        <v>162</v>
      </c>
      <c r="B126" s="55" t="s">
        <v>39</v>
      </c>
      <c r="C126" s="182">
        <v>1507.8</v>
      </c>
      <c r="D126" s="68" t="s">
        <v>44</v>
      </c>
    </row>
    <row r="127" spans="1:4" ht="12.75">
      <c r="A127" s="54" t="s">
        <v>163</v>
      </c>
      <c r="B127" s="55" t="s">
        <v>39</v>
      </c>
      <c r="C127" s="182">
        <v>1507.8</v>
      </c>
      <c r="D127" s="89" t="s">
        <v>164</v>
      </c>
    </row>
    <row r="128" spans="1:4" ht="12.75">
      <c r="A128" s="49" t="s">
        <v>165</v>
      </c>
      <c r="B128" s="38"/>
      <c r="C128" s="61"/>
      <c r="D128" s="62"/>
    </row>
    <row r="129" spans="1:4" ht="12.75">
      <c r="A129" s="54" t="s">
        <v>162</v>
      </c>
      <c r="B129" s="55" t="s">
        <v>39</v>
      </c>
      <c r="C129" s="182">
        <f>1507.8+80.64</f>
        <v>1588.44</v>
      </c>
      <c r="D129" s="68" t="s">
        <v>44</v>
      </c>
    </row>
    <row r="130" spans="1:4" ht="12.75">
      <c r="A130" s="54" t="s">
        <v>163</v>
      </c>
      <c r="B130" s="55" t="s">
        <v>39</v>
      </c>
      <c r="C130" s="182">
        <f>1507.8+80.64</f>
        <v>1588.44</v>
      </c>
      <c r="D130" s="89" t="s">
        <v>164</v>
      </c>
    </row>
    <row r="131" spans="1:4" ht="12.75">
      <c r="A131" s="49" t="s">
        <v>166</v>
      </c>
      <c r="B131" s="38"/>
      <c r="C131" s="61"/>
      <c r="D131" s="62"/>
    </row>
    <row r="132" spans="1:4" ht="12.75">
      <c r="A132" s="54" t="s">
        <v>162</v>
      </c>
      <c r="B132" s="55" t="s">
        <v>39</v>
      </c>
      <c r="C132" s="185">
        <f>1507.8+236.4+481.7</f>
        <v>2225.9</v>
      </c>
      <c r="D132" s="68" t="s">
        <v>175</v>
      </c>
    </row>
    <row r="133" spans="1:4" ht="12.75">
      <c r="A133" s="54" t="s">
        <v>163</v>
      </c>
      <c r="B133" s="55" t="s">
        <v>39</v>
      </c>
      <c r="C133" s="182">
        <f>1507.8+236.4+481.7</f>
        <v>2225.9</v>
      </c>
      <c r="D133" s="89" t="s">
        <v>164</v>
      </c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 horizontalCentered="1"/>
  <pageMargins left="0.15833333333333333" right="0.10208333333333333" top="0.5902777777777778" bottom="0.5902777777777778" header="0.5118055555555555" footer="0.5118055555555555"/>
  <pageSetup horizontalDpi="300" verticalDpi="300" orientation="portrait" paperSize="9" scale="9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D129"/>
  <sheetViews>
    <sheetView workbookViewId="0" topLeftCell="A106">
      <selection activeCell="A128" sqref="A128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5" customHeight="1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248</v>
      </c>
      <c r="B4" s="3"/>
      <c r="C4" s="3"/>
    </row>
    <row r="5" spans="1:3" ht="18.75" customHeight="1">
      <c r="A5" s="2" t="s">
        <v>4</v>
      </c>
      <c r="B5" s="2"/>
      <c r="C5" s="2"/>
    </row>
    <row r="6" spans="1:3" ht="12.75">
      <c r="A6" s="1" t="s">
        <v>5</v>
      </c>
      <c r="C6" s="4" t="s">
        <v>249</v>
      </c>
    </row>
    <row r="7" spans="1:3" ht="12.75">
      <c r="A7" s="1" t="s">
        <v>7</v>
      </c>
      <c r="C7" s="4" t="s">
        <v>250</v>
      </c>
    </row>
    <row r="8" spans="1:3" ht="12.75">
      <c r="A8" s="1" t="s">
        <v>9</v>
      </c>
      <c r="C8" s="7"/>
    </row>
    <row r="9" ht="12.75">
      <c r="C9" s="7"/>
    </row>
    <row r="10" spans="1:3" ht="12.75">
      <c r="A10" s="1" t="s">
        <v>11</v>
      </c>
      <c r="C10" s="7" t="s">
        <v>251</v>
      </c>
    </row>
    <row r="11" spans="1:3" ht="12.75">
      <c r="A11" s="1" t="s">
        <v>13</v>
      </c>
      <c r="C11" s="7"/>
    </row>
    <row r="12" spans="1:3" ht="12.75">
      <c r="A12" s="1" t="s">
        <v>14</v>
      </c>
      <c r="C12" s="7"/>
    </row>
    <row r="13" spans="1:3" ht="12.75">
      <c r="A13" s="1" t="s">
        <v>15</v>
      </c>
      <c r="B13" s="1" t="s">
        <v>16</v>
      </c>
      <c r="C13" s="7"/>
    </row>
    <row r="14" spans="1:3" ht="12.75">
      <c r="A14" s="1" t="s">
        <v>17</v>
      </c>
      <c r="B14" s="1" t="s">
        <v>18</v>
      </c>
      <c r="C14" s="7"/>
    </row>
    <row r="15" spans="1:3" ht="12.75">
      <c r="A15" s="1" t="s">
        <v>19</v>
      </c>
      <c r="B15" s="1" t="s">
        <v>20</v>
      </c>
      <c r="C15" s="7"/>
    </row>
    <row r="16" spans="1:3" ht="12.75">
      <c r="A16" s="1" t="s">
        <v>21</v>
      </c>
      <c r="B16" s="1" t="s">
        <v>22</v>
      </c>
      <c r="C16" s="7"/>
    </row>
    <row r="17" spans="1:3" ht="12.75">
      <c r="A17" s="1" t="s">
        <v>23</v>
      </c>
      <c r="B17" s="1" t="s">
        <v>232</v>
      </c>
      <c r="C17" s="7"/>
    </row>
    <row r="18" spans="1:3" ht="12.75">
      <c r="A18" s="1" t="s">
        <v>25</v>
      </c>
      <c r="B18" s="1" t="s">
        <v>26</v>
      </c>
      <c r="C18" s="7"/>
    </row>
    <row r="19" spans="1:3" ht="12.75">
      <c r="A19" s="1" t="s">
        <v>27</v>
      </c>
      <c r="B19" s="1" t="s">
        <v>28</v>
      </c>
      <c r="C19" s="7"/>
    </row>
    <row r="20" spans="1:3" ht="12.75">
      <c r="A20" s="1" t="s">
        <v>29</v>
      </c>
      <c r="C20" s="7"/>
    </row>
    <row r="21" spans="1:3" ht="12.75">
      <c r="A21" s="1" t="s">
        <v>30</v>
      </c>
      <c r="B21" s="1" t="s">
        <v>31</v>
      </c>
      <c r="C21" s="7"/>
    </row>
    <row r="22" ht="12.75">
      <c r="C22" s="7"/>
    </row>
    <row r="23" ht="12.75">
      <c r="C23" s="83"/>
    </row>
    <row r="24" spans="1:3" ht="12.75">
      <c r="A24" s="1" t="s">
        <v>32</v>
      </c>
      <c r="C24" s="71">
        <v>0.9171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7" ht="12.75"/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311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311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1464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19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58.3</v>
      </c>
      <c r="D33" s="16" t="s">
        <v>48</v>
      </c>
    </row>
    <row r="34" spans="1:4" ht="25.5">
      <c r="A34" s="13" t="s">
        <v>49</v>
      </c>
      <c r="B34" s="17" t="s">
        <v>50</v>
      </c>
      <c r="C34" s="15">
        <v>311</v>
      </c>
      <c r="D34" s="16" t="s">
        <v>51</v>
      </c>
    </row>
    <row r="35" spans="1:4" ht="25.5">
      <c r="A35" s="13" t="s">
        <v>52</v>
      </c>
      <c r="B35" s="17" t="s">
        <v>39</v>
      </c>
      <c r="C35" s="15">
        <v>467</v>
      </c>
      <c r="D35" s="16" t="s">
        <v>53</v>
      </c>
    </row>
    <row r="36" spans="1:4" ht="12.75" hidden="1">
      <c r="A36" s="13" t="s">
        <v>54</v>
      </c>
      <c r="B36" s="17" t="s">
        <v>39</v>
      </c>
      <c r="C36" s="15"/>
      <c r="D36" s="16" t="s">
        <v>233</v>
      </c>
    </row>
    <row r="37" spans="1:4" ht="12.75" hidden="1">
      <c r="A37" s="13" t="s">
        <v>56</v>
      </c>
      <c r="B37" s="17" t="s">
        <v>39</v>
      </c>
      <c r="C37" s="15"/>
      <c r="D37" s="16" t="s">
        <v>233</v>
      </c>
    </row>
    <row r="38" spans="1:4" ht="12.75" hidden="1">
      <c r="A38" s="13" t="s">
        <v>59</v>
      </c>
      <c r="B38" s="17" t="s">
        <v>39</v>
      </c>
      <c r="C38" s="15"/>
      <c r="D38" s="16" t="s">
        <v>233</v>
      </c>
    </row>
    <row r="39" spans="1:4" ht="12.75">
      <c r="A39" s="13" t="s">
        <v>61</v>
      </c>
      <c r="B39" s="17" t="s">
        <v>39</v>
      </c>
      <c r="C39" s="15">
        <v>1693.5</v>
      </c>
      <c r="D39" s="16" t="s">
        <v>46</v>
      </c>
    </row>
    <row r="40" spans="1:4" ht="25.5">
      <c r="A40" s="13" t="s">
        <v>62</v>
      </c>
      <c r="B40" s="17" t="s">
        <v>39</v>
      </c>
      <c r="C40" s="73">
        <v>311</v>
      </c>
      <c r="D40" s="16" t="s">
        <v>53</v>
      </c>
    </row>
    <row r="41" spans="1:4" ht="12.75" hidden="1">
      <c r="A41" s="13" t="s">
        <v>63</v>
      </c>
      <c r="B41" s="17" t="s">
        <v>39</v>
      </c>
      <c r="C41" s="15"/>
      <c r="D41" s="16" t="s">
        <v>233</v>
      </c>
    </row>
    <row r="42" spans="1:4" ht="12.75" hidden="1">
      <c r="A42" s="13" t="s">
        <v>64</v>
      </c>
      <c r="B42" s="17" t="s">
        <v>39</v>
      </c>
      <c r="C42" s="15"/>
      <c r="D42" s="16" t="s">
        <v>233</v>
      </c>
    </row>
    <row r="43" spans="1:4" ht="12.75" hidden="1">
      <c r="A43" s="13" t="s">
        <v>65</v>
      </c>
      <c r="B43" s="17" t="s">
        <v>39</v>
      </c>
      <c r="C43" s="15"/>
      <c r="D43" s="16" t="s">
        <v>233</v>
      </c>
    </row>
    <row r="44" spans="1:4" ht="12.75" hidden="1">
      <c r="A44" s="13" t="s">
        <v>66</v>
      </c>
      <c r="B44" s="17" t="s">
        <v>67</v>
      </c>
      <c r="C44" s="15"/>
      <c r="D44" s="16" t="s">
        <v>233</v>
      </c>
    </row>
    <row r="45" spans="1:4" ht="12.75" hidden="1">
      <c r="A45" s="13" t="s">
        <v>68</v>
      </c>
      <c r="B45" s="17" t="s">
        <v>67</v>
      </c>
      <c r="C45" s="15"/>
      <c r="D45" s="16" t="s">
        <v>233</v>
      </c>
    </row>
    <row r="46" spans="1:4" ht="12.75" hidden="1">
      <c r="A46" s="13" t="s">
        <v>70</v>
      </c>
      <c r="B46" s="17" t="s">
        <v>39</v>
      </c>
      <c r="C46" s="15"/>
      <c r="D46" s="16" t="s">
        <v>233</v>
      </c>
    </row>
    <row r="47" spans="1:4" ht="12.75" hidden="1">
      <c r="A47" s="13" t="s">
        <v>72</v>
      </c>
      <c r="B47" s="17" t="s">
        <v>39</v>
      </c>
      <c r="C47" s="15"/>
      <c r="D47" s="16" t="s">
        <v>233</v>
      </c>
    </row>
    <row r="48" spans="1:4" ht="12.75" hidden="1">
      <c r="A48" s="13" t="s">
        <v>73</v>
      </c>
      <c r="B48" s="17" t="s">
        <v>67</v>
      </c>
      <c r="C48" s="15"/>
      <c r="D48" s="16" t="s">
        <v>233</v>
      </c>
    </row>
    <row r="49" spans="1:4" ht="12.75">
      <c r="A49" s="13" t="s">
        <v>74</v>
      </c>
      <c r="B49" s="17" t="s">
        <v>39</v>
      </c>
      <c r="C49" s="15">
        <v>741.2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25.5" customHeight="1">
      <c r="A55" s="13" t="s">
        <v>82</v>
      </c>
      <c r="B55" s="24" t="s">
        <v>79</v>
      </c>
      <c r="C55" s="24"/>
      <c r="D55" s="13" t="s">
        <v>83</v>
      </c>
    </row>
    <row r="56" spans="1:4" ht="25.5" customHeight="1">
      <c r="A56" s="13" t="s">
        <v>84</v>
      </c>
      <c r="B56" s="24" t="s">
        <v>79</v>
      </c>
      <c r="C56" s="24"/>
      <c r="D56" s="13" t="s">
        <v>83</v>
      </c>
    </row>
    <row r="57" spans="1:4" ht="25.5" customHeight="1">
      <c r="A57" s="13" t="s">
        <v>85</v>
      </c>
      <c r="B57" s="24" t="s">
        <v>79</v>
      </c>
      <c r="C57" s="24"/>
      <c r="D57" s="13" t="s">
        <v>86</v>
      </c>
    </row>
    <row r="58" spans="1:4" ht="26.25" customHeight="1">
      <c r="A58" s="13" t="s">
        <v>87</v>
      </c>
      <c r="B58" s="24" t="s">
        <v>79</v>
      </c>
      <c r="C58" s="24"/>
      <c r="D58" s="13" t="s">
        <v>88</v>
      </c>
    </row>
    <row r="59" spans="1:4" ht="25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5.5" customHeight="1">
      <c r="A61" s="13" t="s">
        <v>91</v>
      </c>
      <c r="B61" s="24" t="s">
        <v>79</v>
      </c>
      <c r="C61" s="24"/>
      <c r="D61" s="13" t="s">
        <v>92</v>
      </c>
    </row>
    <row r="62" spans="1:4" ht="26.2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7.75" customHeight="1">
      <c r="A64" s="13" t="s">
        <v>96</v>
      </c>
      <c r="B64" s="24" t="s">
        <v>79</v>
      </c>
      <c r="C64" s="24"/>
      <c r="D64" s="13" t="s">
        <v>88</v>
      </c>
    </row>
    <row r="65" spans="1:4" ht="25.5" customHeight="1">
      <c r="A65" s="13" t="s">
        <v>97</v>
      </c>
      <c r="B65" s="24" t="s">
        <v>79</v>
      </c>
      <c r="C65" s="24"/>
      <c r="D65" s="13" t="s">
        <v>98</v>
      </c>
    </row>
    <row r="66" spans="1:4" ht="25.5" customHeight="1">
      <c r="A66" s="13" t="s">
        <v>99</v>
      </c>
      <c r="B66" s="24" t="s">
        <v>79</v>
      </c>
      <c r="C66" s="24"/>
      <c r="D66" s="13" t="s">
        <v>100</v>
      </c>
    </row>
    <row r="67" spans="1:4" ht="27.75" customHeight="1">
      <c r="A67" s="13" t="s">
        <v>101</v>
      </c>
      <c r="B67" s="24" t="s">
        <v>79</v>
      </c>
      <c r="C67" s="24"/>
      <c r="D67" s="13" t="s">
        <v>88</v>
      </c>
    </row>
    <row r="68" spans="1:4" ht="26.25" customHeight="1">
      <c r="A68" s="13" t="s">
        <v>102</v>
      </c>
      <c r="B68" s="24" t="s">
        <v>79</v>
      </c>
      <c r="C68" s="24"/>
      <c r="D68" s="13" t="s">
        <v>60</v>
      </c>
    </row>
    <row r="69" spans="1:4" ht="30" customHeight="1">
      <c r="A69" s="13" t="s">
        <v>103</v>
      </c>
      <c r="B69" s="24" t="s">
        <v>79</v>
      </c>
      <c r="C69" s="24"/>
      <c r="D69" s="13" t="s">
        <v>104</v>
      </c>
    </row>
    <row r="70" spans="1:4" ht="25.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.75" customHeight="1">
      <c r="A72" s="13" t="s">
        <v>89</v>
      </c>
      <c r="B72" s="24" t="s">
        <v>79</v>
      </c>
      <c r="C72" s="24"/>
      <c r="D72" s="13" t="s">
        <v>40</v>
      </c>
    </row>
    <row r="73" spans="1:4" ht="25.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4" ht="27.75" customHeight="1">
      <c r="A75" s="13" t="s">
        <v>111</v>
      </c>
      <c r="B75" s="14" t="s">
        <v>112</v>
      </c>
      <c r="C75" s="15">
        <f>191*1.15*12</f>
        <v>2635.7999999999997</v>
      </c>
      <c r="D75" s="74" t="s">
        <v>69</v>
      </c>
    </row>
    <row r="76" spans="1:4" ht="12.75">
      <c r="A76" s="13" t="s">
        <v>113</v>
      </c>
      <c r="B76" s="33" t="s">
        <v>112</v>
      </c>
      <c r="C76" s="15">
        <f>0.75*4*2*51</f>
        <v>306</v>
      </c>
      <c r="D76" s="74" t="s">
        <v>114</v>
      </c>
    </row>
    <row r="77" spans="1:4" ht="12.75">
      <c r="A77" s="13" t="s">
        <v>115</v>
      </c>
      <c r="B77" s="14" t="s">
        <v>67</v>
      </c>
      <c r="C77" s="15">
        <v>5</v>
      </c>
      <c r="D77" s="74" t="s">
        <v>116</v>
      </c>
    </row>
    <row r="78" spans="1:4" ht="12.75" customHeight="1">
      <c r="A78" s="75" t="s">
        <v>117</v>
      </c>
      <c r="B78" s="75"/>
      <c r="C78" s="76"/>
      <c r="D78" s="77"/>
    </row>
    <row r="79" spans="1:4" ht="12.75">
      <c r="A79" s="35" t="s">
        <v>118</v>
      </c>
      <c r="B79" s="36"/>
      <c r="C79" s="37"/>
      <c r="D79" s="38"/>
    </row>
    <row r="80" spans="1:4" s="1" customFormat="1" ht="12.75">
      <c r="A80" s="87" t="s">
        <v>234</v>
      </c>
      <c r="B80" s="41" t="s">
        <v>39</v>
      </c>
      <c r="C80" s="41">
        <v>38</v>
      </c>
      <c r="D80" s="91"/>
    </row>
    <row r="81" spans="1:4" ht="12.75">
      <c r="A81" s="35" t="s">
        <v>235</v>
      </c>
      <c r="B81" s="36"/>
      <c r="C81" s="36"/>
      <c r="D81" s="38"/>
    </row>
    <row r="82" spans="1:4" ht="12.75">
      <c r="A82" s="39" t="s">
        <v>252</v>
      </c>
      <c r="B82" s="40" t="s">
        <v>39</v>
      </c>
      <c r="C82" s="40">
        <f>30+45</f>
        <v>75</v>
      </c>
      <c r="D82" s="92"/>
    </row>
    <row r="83" spans="1:4" ht="12.75">
      <c r="A83" s="39" t="s">
        <v>253</v>
      </c>
      <c r="B83" s="40" t="s">
        <v>39</v>
      </c>
      <c r="C83" s="40">
        <f>1</f>
        <v>1</v>
      </c>
      <c r="D83" s="92"/>
    </row>
    <row r="84" spans="1:4" ht="12.75">
      <c r="A84" s="88" t="s">
        <v>237</v>
      </c>
      <c r="B84" s="40" t="s">
        <v>67</v>
      </c>
      <c r="C84" s="41">
        <f>2</f>
        <v>2</v>
      </c>
      <c r="D84" s="92"/>
    </row>
    <row r="85" spans="1:4" ht="12.75">
      <c r="A85" s="35" t="s">
        <v>126</v>
      </c>
      <c r="B85" s="36"/>
      <c r="C85" s="36"/>
      <c r="D85" s="38"/>
    </row>
    <row r="86" spans="1:4" ht="12.75">
      <c r="A86" s="43" t="s">
        <v>212</v>
      </c>
      <c r="B86" s="46" t="s">
        <v>67</v>
      </c>
      <c r="C86" s="41">
        <f>1</f>
        <v>1</v>
      </c>
      <c r="D86" s="92"/>
    </row>
    <row r="87" spans="1:4" ht="12.75">
      <c r="A87" s="43" t="s">
        <v>129</v>
      </c>
      <c r="B87" s="40" t="s">
        <v>67</v>
      </c>
      <c r="C87" s="41">
        <f>8+1</f>
        <v>9</v>
      </c>
      <c r="D87" s="92"/>
    </row>
    <row r="88" spans="1:4" ht="13.5" customHeight="1">
      <c r="A88" s="43" t="s">
        <v>131</v>
      </c>
      <c r="B88" s="40" t="s">
        <v>67</v>
      </c>
      <c r="C88" s="41">
        <f>1+1+1+1+1+1+1+1</f>
        <v>8</v>
      </c>
      <c r="D88" s="92"/>
    </row>
    <row r="89" spans="1:4" ht="12.75">
      <c r="A89" s="43" t="s">
        <v>189</v>
      </c>
      <c r="B89" s="40" t="s">
        <v>133</v>
      </c>
      <c r="C89" s="41">
        <f>3</f>
        <v>3</v>
      </c>
      <c r="D89" s="92"/>
    </row>
    <row r="90" spans="1:4" ht="12.75">
      <c r="A90" s="43" t="s">
        <v>132</v>
      </c>
      <c r="B90" s="40" t="s">
        <v>133</v>
      </c>
      <c r="C90" s="41">
        <f>3</f>
        <v>3</v>
      </c>
      <c r="D90" s="42"/>
    </row>
    <row r="91" spans="1:4" ht="12.75">
      <c r="A91" s="43" t="s">
        <v>134</v>
      </c>
      <c r="B91" s="40" t="s">
        <v>39</v>
      </c>
      <c r="C91" s="41">
        <f>0.4+0.8+0.8+2.8+0.8+0.3+0.7</f>
        <v>6.6</v>
      </c>
      <c r="D91" s="42"/>
    </row>
    <row r="92" spans="1:4" ht="12.75">
      <c r="A92" s="35" t="s">
        <v>213</v>
      </c>
      <c r="B92" s="36"/>
      <c r="C92" s="36"/>
      <c r="D92" s="45"/>
    </row>
    <row r="93" spans="1:4" s="1" customFormat="1" ht="12.75">
      <c r="A93" s="43" t="s">
        <v>254</v>
      </c>
      <c r="B93" s="41" t="s">
        <v>67</v>
      </c>
      <c r="C93" s="41">
        <v>1</v>
      </c>
      <c r="D93" s="68"/>
    </row>
    <row r="94" spans="1:4" ht="12.75">
      <c r="A94" s="35" t="s">
        <v>238</v>
      </c>
      <c r="B94" s="36"/>
      <c r="C94" s="36"/>
      <c r="D94" s="45"/>
    </row>
    <row r="95" spans="1:4" ht="12.75">
      <c r="A95" s="43" t="s">
        <v>239</v>
      </c>
      <c r="B95" s="40" t="s">
        <v>133</v>
      </c>
      <c r="C95" s="40">
        <v>30</v>
      </c>
      <c r="D95" s="42"/>
    </row>
    <row r="96" spans="1:4" ht="12.75">
      <c r="A96" s="49" t="s">
        <v>141</v>
      </c>
      <c r="B96" s="36"/>
      <c r="C96" s="50"/>
      <c r="D96" s="45"/>
    </row>
    <row r="97" spans="1:4" ht="12.75">
      <c r="A97" s="52" t="s">
        <v>255</v>
      </c>
      <c r="B97" s="84" t="s">
        <v>39</v>
      </c>
      <c r="C97" s="41">
        <v>9</v>
      </c>
      <c r="D97" s="42"/>
    </row>
    <row r="98" spans="1:4" ht="12.75">
      <c r="A98" s="52" t="s">
        <v>256</v>
      </c>
      <c r="B98" s="40" t="s">
        <v>133</v>
      </c>
      <c r="C98" s="41">
        <f>3.9+26.1</f>
        <v>30</v>
      </c>
      <c r="D98" s="42"/>
    </row>
    <row r="99" spans="1:4" ht="12.75">
      <c r="A99" s="51" t="s">
        <v>192</v>
      </c>
      <c r="B99" s="41" t="s">
        <v>67</v>
      </c>
      <c r="C99" s="41">
        <f>1</f>
        <v>1</v>
      </c>
      <c r="D99" s="42"/>
    </row>
    <row r="100" spans="1:4" ht="12.75">
      <c r="A100" s="51" t="s">
        <v>218</v>
      </c>
      <c r="B100" s="41" t="s">
        <v>39</v>
      </c>
      <c r="C100" s="41">
        <f>7+19</f>
        <v>26</v>
      </c>
      <c r="D100" s="42"/>
    </row>
    <row r="101" spans="1:4" ht="12.75">
      <c r="A101" s="49" t="s">
        <v>145</v>
      </c>
      <c r="B101" s="36"/>
      <c r="C101" s="36"/>
      <c r="D101" s="45"/>
    </row>
    <row r="102" spans="1:4" ht="12.75">
      <c r="A102" s="52" t="s">
        <v>223</v>
      </c>
      <c r="B102" s="41" t="s">
        <v>39</v>
      </c>
      <c r="C102" s="40">
        <f>64</f>
        <v>64</v>
      </c>
      <c r="D102" s="42"/>
    </row>
    <row r="103" spans="1:4" ht="12.75">
      <c r="A103" s="52" t="s">
        <v>146</v>
      </c>
      <c r="B103" s="40" t="s">
        <v>67</v>
      </c>
      <c r="C103" s="40">
        <v>1</v>
      </c>
      <c r="D103" s="42"/>
    </row>
    <row r="104" spans="1:4" ht="12.75">
      <c r="A104" s="52" t="s">
        <v>147</v>
      </c>
      <c r="B104" s="40" t="s">
        <v>67</v>
      </c>
      <c r="C104" s="40">
        <v>4</v>
      </c>
      <c r="D104" s="42"/>
    </row>
    <row r="105" spans="1:4" ht="12.75">
      <c r="A105" s="52" t="s">
        <v>149</v>
      </c>
      <c r="B105" s="40" t="s">
        <v>67</v>
      </c>
      <c r="C105" s="40">
        <v>5</v>
      </c>
      <c r="D105" s="42"/>
    </row>
    <row r="106" spans="1:4" ht="12.75">
      <c r="A106" s="52" t="s">
        <v>196</v>
      </c>
      <c r="B106" s="41" t="s">
        <v>67</v>
      </c>
      <c r="C106" s="40">
        <v>9</v>
      </c>
      <c r="D106" s="42"/>
    </row>
    <row r="107" spans="1:4" ht="12.75">
      <c r="A107" s="52" t="s">
        <v>151</v>
      </c>
      <c r="B107" s="41" t="s">
        <v>39</v>
      </c>
      <c r="C107" s="40">
        <v>350</v>
      </c>
      <c r="D107" s="47" t="s">
        <v>130</v>
      </c>
    </row>
    <row r="108" spans="1:4" ht="12.75">
      <c r="A108" s="52" t="s">
        <v>154</v>
      </c>
      <c r="B108" s="41" t="s">
        <v>67</v>
      </c>
      <c r="C108" s="40">
        <v>1</v>
      </c>
      <c r="D108" s="42"/>
    </row>
    <row r="109" spans="1:4" ht="12.75">
      <c r="A109" s="49" t="s">
        <v>157</v>
      </c>
      <c r="B109" s="36"/>
      <c r="C109" s="36"/>
      <c r="D109" s="45"/>
    </row>
    <row r="110" spans="1:4" ht="12.75">
      <c r="A110" s="51" t="s">
        <v>158</v>
      </c>
      <c r="B110" s="40" t="s">
        <v>67</v>
      </c>
      <c r="C110" s="40">
        <f>1</f>
        <v>1</v>
      </c>
      <c r="D110" s="42"/>
    </row>
    <row r="111" spans="1:4" s="1" customFormat="1" ht="12.75">
      <c r="A111" s="80" t="s">
        <v>202</v>
      </c>
      <c r="B111" s="41" t="s">
        <v>39</v>
      </c>
      <c r="C111" s="41">
        <v>462</v>
      </c>
      <c r="D111" s="44"/>
    </row>
    <row r="112" spans="1:4" s="1" customFormat="1" ht="12.75">
      <c r="A112" s="80" t="s">
        <v>245</v>
      </c>
      <c r="B112" s="41" t="s">
        <v>39</v>
      </c>
      <c r="C112" s="41">
        <v>24</v>
      </c>
      <c r="D112" s="44"/>
    </row>
    <row r="113" spans="1:4" ht="12.75">
      <c r="A113" s="51" t="s">
        <v>159</v>
      </c>
      <c r="B113" s="40" t="s">
        <v>67</v>
      </c>
      <c r="C113" s="40">
        <v>4</v>
      </c>
      <c r="D113" s="42"/>
    </row>
    <row r="114" spans="1:4" ht="12.75">
      <c r="A114" s="51" t="s">
        <v>160</v>
      </c>
      <c r="B114" s="40" t="s">
        <v>67</v>
      </c>
      <c r="C114" s="40">
        <v>4</v>
      </c>
      <c r="D114" s="42"/>
    </row>
    <row r="115" spans="1:4" ht="12.75">
      <c r="A115" s="51" t="s">
        <v>247</v>
      </c>
      <c r="B115" s="40" t="s">
        <v>67</v>
      </c>
      <c r="C115" s="40">
        <v>4</v>
      </c>
      <c r="D115" s="42"/>
    </row>
    <row r="116" spans="1:4" ht="25.5">
      <c r="A116" s="35" t="s">
        <v>161</v>
      </c>
      <c r="B116" s="36"/>
      <c r="C116" s="60"/>
      <c r="D116" s="45"/>
    </row>
    <row r="117" spans="1:4" ht="12.75">
      <c r="A117" s="54" t="s">
        <v>162</v>
      </c>
      <c r="B117" s="55" t="s">
        <v>39</v>
      </c>
      <c r="C117" s="56">
        <v>741.2</v>
      </c>
      <c r="D117" s="57" t="s">
        <v>44</v>
      </c>
    </row>
    <row r="118" spans="1:4" ht="25.5">
      <c r="A118" s="54" t="s">
        <v>163</v>
      </c>
      <c r="B118" s="58" t="s">
        <v>39</v>
      </c>
      <c r="C118" s="56">
        <v>741.2</v>
      </c>
      <c r="D118" s="59" t="s">
        <v>164</v>
      </c>
    </row>
    <row r="119" spans="1:4" ht="15">
      <c r="A119" s="35" t="s">
        <v>165</v>
      </c>
      <c r="B119" s="36"/>
      <c r="C119" s="60"/>
      <c r="D119" s="45"/>
    </row>
    <row r="120" spans="1:4" ht="12.75">
      <c r="A120" s="54" t="s">
        <v>162</v>
      </c>
      <c r="B120" s="55" t="s">
        <v>39</v>
      </c>
      <c r="C120" s="56">
        <v>741.2</v>
      </c>
      <c r="D120" s="57" t="s">
        <v>44</v>
      </c>
    </row>
    <row r="121" spans="1:4" ht="12.75">
      <c r="A121" s="54" t="s">
        <v>163</v>
      </c>
      <c r="B121" s="55" t="s">
        <v>39</v>
      </c>
      <c r="C121" s="56">
        <v>741.2</v>
      </c>
      <c r="D121" s="59" t="s">
        <v>164</v>
      </c>
    </row>
    <row r="122" spans="1:4" ht="12.75">
      <c r="A122" s="35" t="s">
        <v>166</v>
      </c>
      <c r="B122" s="36"/>
      <c r="C122" s="60"/>
      <c r="D122" s="45"/>
    </row>
    <row r="123" spans="1:4" ht="12.75">
      <c r="A123" s="54" t="s">
        <v>162</v>
      </c>
      <c r="B123" s="55" t="s">
        <v>39</v>
      </c>
      <c r="C123" s="56">
        <f>741.2+8.4+197.6</f>
        <v>947.2</v>
      </c>
      <c r="D123" s="47" t="s">
        <v>175</v>
      </c>
    </row>
    <row r="124" spans="1:4" ht="12.75">
      <c r="A124" s="54" t="s">
        <v>163</v>
      </c>
      <c r="B124" s="58" t="s">
        <v>39</v>
      </c>
      <c r="C124" s="56">
        <f>741.2+8.4+197.6</f>
        <v>947.2</v>
      </c>
      <c r="D124" s="89" t="s">
        <v>164</v>
      </c>
    </row>
    <row r="126" spans="1:3" ht="12.75">
      <c r="A126" s="90"/>
      <c r="C126"/>
    </row>
    <row r="129" ht="12.75">
      <c r="C129" s="1" t="s">
        <v>257</v>
      </c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2:D135"/>
  <sheetViews>
    <sheetView workbookViewId="0" topLeftCell="A104">
      <selection activeCell="A137" sqref="A137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2" spans="1:3" ht="12.75">
      <c r="A2" s="2" t="s">
        <v>0</v>
      </c>
      <c r="B2" s="2"/>
      <c r="C2" s="2"/>
    </row>
    <row r="3" spans="1:3" ht="12.75">
      <c r="A3" s="2" t="s">
        <v>1</v>
      </c>
      <c r="B3" s="2"/>
      <c r="C3" s="2"/>
    </row>
    <row r="4" spans="1:3" ht="12.75">
      <c r="A4" s="2" t="s">
        <v>2</v>
      </c>
      <c r="B4" s="2"/>
      <c r="C4" s="2"/>
    </row>
    <row r="5" spans="1:3" ht="22.5" customHeight="1">
      <c r="A5" s="3" t="s">
        <v>258</v>
      </c>
      <c r="B5" s="3"/>
      <c r="C5" s="3"/>
    </row>
    <row r="6" spans="1:3" ht="18.75" customHeight="1">
      <c r="A6" s="2" t="s">
        <v>4</v>
      </c>
      <c r="B6" s="2"/>
      <c r="C6" s="2"/>
    </row>
    <row r="8" spans="1:3" ht="12.75">
      <c r="A8" s="1" t="s">
        <v>5</v>
      </c>
      <c r="C8" s="4" t="s">
        <v>259</v>
      </c>
    </row>
    <row r="9" spans="1:3" ht="12.75">
      <c r="A9" s="1" t="s">
        <v>7</v>
      </c>
      <c r="C9" s="4" t="s">
        <v>260</v>
      </c>
    </row>
    <row r="10" spans="1:3" ht="12.75">
      <c r="A10" s="1" t="s">
        <v>9</v>
      </c>
      <c r="C10" s="7" t="s">
        <v>261</v>
      </c>
    </row>
    <row r="11" ht="12.75">
      <c r="C11" s="7"/>
    </row>
    <row r="12" spans="1:3" ht="12.75">
      <c r="A12" s="1" t="s">
        <v>11</v>
      </c>
      <c r="C12" s="7" t="s">
        <v>262</v>
      </c>
    </row>
    <row r="13" spans="1:3" ht="12.75">
      <c r="A13" s="1" t="s">
        <v>13</v>
      </c>
      <c r="C13" s="7"/>
    </row>
    <row r="14" spans="1:3" ht="12.75">
      <c r="A14" s="1" t="s">
        <v>14</v>
      </c>
      <c r="C14" s="7"/>
    </row>
    <row r="15" spans="1:3" ht="12.75">
      <c r="A15" s="1" t="s">
        <v>15</v>
      </c>
      <c r="B15" s="1" t="s">
        <v>16</v>
      </c>
      <c r="C15" s="7"/>
    </row>
    <row r="16" spans="1:3" ht="12.75">
      <c r="A16" s="1" t="s">
        <v>17</v>
      </c>
      <c r="B16" s="1" t="s">
        <v>231</v>
      </c>
      <c r="C16" s="7"/>
    </row>
    <row r="17" spans="1:3" ht="12.75">
      <c r="A17" s="1" t="s">
        <v>19</v>
      </c>
      <c r="B17" s="1" t="s">
        <v>20</v>
      </c>
      <c r="C17" s="7"/>
    </row>
    <row r="18" spans="1:3" ht="12.75">
      <c r="A18" s="1" t="s">
        <v>21</v>
      </c>
      <c r="B18" s="1" t="s">
        <v>22</v>
      </c>
      <c r="C18" s="7"/>
    </row>
    <row r="19" spans="1:3" ht="12.75">
      <c r="A19" s="1" t="s">
        <v>23</v>
      </c>
      <c r="B19" s="1" t="s">
        <v>232</v>
      </c>
      <c r="C19" s="7"/>
    </row>
    <row r="20" spans="1:3" ht="12.75">
      <c r="A20" s="1" t="s">
        <v>25</v>
      </c>
      <c r="B20" s="1" t="s">
        <v>26</v>
      </c>
      <c r="C20" s="7"/>
    </row>
    <row r="21" spans="1:3" ht="12.75">
      <c r="A21" s="1" t="s">
        <v>27</v>
      </c>
      <c r="B21" s="1" t="s">
        <v>28</v>
      </c>
      <c r="C21" s="7"/>
    </row>
    <row r="22" spans="1:3" ht="12.75">
      <c r="A22" s="1" t="s">
        <v>29</v>
      </c>
      <c r="C22" s="83"/>
    </row>
    <row r="23" spans="1:3" ht="12.75">
      <c r="A23" s="1" t="s">
        <v>30</v>
      </c>
      <c r="B23" s="1" t="s">
        <v>31</v>
      </c>
      <c r="C23" s="83"/>
    </row>
    <row r="24" ht="12.75">
      <c r="C24" s="83"/>
    </row>
    <row r="25" spans="1:3" ht="12.75">
      <c r="A25" s="1" t="s">
        <v>32</v>
      </c>
      <c r="C25" s="71">
        <v>0.8252</v>
      </c>
    </row>
    <row r="26" spans="1:3" ht="12.75">
      <c r="A26" s="72"/>
      <c r="C26" s="7"/>
    </row>
    <row r="27" spans="1:3" ht="12.75" customHeight="1">
      <c r="A27" s="10" t="s">
        <v>33</v>
      </c>
      <c r="B27" s="10"/>
      <c r="C27" s="10"/>
    </row>
    <row r="29" spans="1:4" ht="38.25">
      <c r="A29" s="11" t="s">
        <v>34</v>
      </c>
      <c r="B29" s="11" t="s">
        <v>35</v>
      </c>
      <c r="C29" s="11" t="s">
        <v>36</v>
      </c>
      <c r="D29" s="12" t="s">
        <v>37</v>
      </c>
    </row>
    <row r="30" spans="1:4" ht="25.5">
      <c r="A30" s="13" t="s">
        <v>38</v>
      </c>
      <c r="B30" s="14" t="s">
        <v>39</v>
      </c>
      <c r="C30" s="15">
        <v>967</v>
      </c>
      <c r="D30" s="16" t="s">
        <v>40</v>
      </c>
    </row>
    <row r="31" spans="1:4" ht="12.75">
      <c r="A31" s="13" t="s">
        <v>41</v>
      </c>
      <c r="B31" s="14" t="s">
        <v>39</v>
      </c>
      <c r="C31" s="15">
        <v>967</v>
      </c>
      <c r="D31" s="16" t="s">
        <v>42</v>
      </c>
    </row>
    <row r="32" spans="1:4" ht="51">
      <c r="A32" s="13" t="s">
        <v>43</v>
      </c>
      <c r="B32" s="14" t="s">
        <v>39</v>
      </c>
      <c r="C32" s="15">
        <v>3069</v>
      </c>
      <c r="D32" s="16" t="s">
        <v>44</v>
      </c>
    </row>
    <row r="33" spans="1:4" ht="12.75">
      <c r="A33" s="13" t="s">
        <v>45</v>
      </c>
      <c r="B33" s="14" t="s">
        <v>39</v>
      </c>
      <c r="C33" s="15">
        <v>10</v>
      </c>
      <c r="D33" s="16" t="s">
        <v>46</v>
      </c>
    </row>
    <row r="34" spans="1:4" ht="25.5">
      <c r="A34" s="13" t="s">
        <v>47</v>
      </c>
      <c r="B34" s="17" t="s">
        <v>39</v>
      </c>
      <c r="C34" s="15">
        <v>29.2</v>
      </c>
      <c r="D34" s="16" t="s">
        <v>48</v>
      </c>
    </row>
    <row r="35" spans="1:4" ht="25.5">
      <c r="A35" s="13" t="s">
        <v>49</v>
      </c>
      <c r="B35" s="17" t="s">
        <v>50</v>
      </c>
      <c r="C35" s="73">
        <v>967</v>
      </c>
      <c r="D35" s="16" t="s">
        <v>51</v>
      </c>
    </row>
    <row r="36" spans="1:4" ht="25.5">
      <c r="A36" s="13" t="s">
        <v>52</v>
      </c>
      <c r="B36" s="17" t="s">
        <v>39</v>
      </c>
      <c r="C36" s="15">
        <v>1451</v>
      </c>
      <c r="D36" s="16" t="s">
        <v>53</v>
      </c>
    </row>
    <row r="37" spans="1:4" ht="12.75" hidden="1">
      <c r="A37" s="13" t="s">
        <v>54</v>
      </c>
      <c r="B37" s="17" t="s">
        <v>39</v>
      </c>
      <c r="C37" s="15"/>
      <c r="D37" s="16" t="s">
        <v>233</v>
      </c>
    </row>
    <row r="38" spans="1:4" ht="12.75" hidden="1">
      <c r="A38" s="13" t="s">
        <v>56</v>
      </c>
      <c r="B38" s="17" t="s">
        <v>39</v>
      </c>
      <c r="C38" s="15"/>
      <c r="D38" s="16" t="s">
        <v>233</v>
      </c>
    </row>
    <row r="39" spans="1:4" ht="12.75" hidden="1">
      <c r="A39" s="13" t="s">
        <v>59</v>
      </c>
      <c r="B39" s="17" t="s">
        <v>39</v>
      </c>
      <c r="C39" s="15"/>
      <c r="D39" s="16" t="s">
        <v>233</v>
      </c>
    </row>
    <row r="40" spans="1:4" ht="12.75">
      <c r="A40" s="13" t="s">
        <v>61</v>
      </c>
      <c r="B40" s="17" t="s">
        <v>39</v>
      </c>
      <c r="C40" s="15">
        <v>948.7</v>
      </c>
      <c r="D40" s="16" t="s">
        <v>46</v>
      </c>
    </row>
    <row r="41" spans="1:4" ht="25.5">
      <c r="A41" s="13" t="s">
        <v>62</v>
      </c>
      <c r="B41" s="17" t="s">
        <v>39</v>
      </c>
      <c r="C41" s="73">
        <v>967</v>
      </c>
      <c r="D41" s="16" t="s">
        <v>53</v>
      </c>
    </row>
    <row r="42" spans="1:4" ht="12.75" hidden="1">
      <c r="A42" s="13" t="s">
        <v>63</v>
      </c>
      <c r="B42" s="17" t="s">
        <v>39</v>
      </c>
      <c r="C42" s="15"/>
      <c r="D42" s="16" t="s">
        <v>233</v>
      </c>
    </row>
    <row r="43" spans="1:4" ht="12.75" hidden="1">
      <c r="A43" s="13" t="s">
        <v>64</v>
      </c>
      <c r="B43" s="17" t="s">
        <v>39</v>
      </c>
      <c r="C43" s="15"/>
      <c r="D43" s="16" t="s">
        <v>233</v>
      </c>
    </row>
    <row r="44" spans="1:4" ht="12.75" hidden="1">
      <c r="A44" s="13" t="s">
        <v>65</v>
      </c>
      <c r="B44" s="17" t="s">
        <v>39</v>
      </c>
      <c r="C44" s="15"/>
      <c r="D44" s="16" t="s">
        <v>233</v>
      </c>
    </row>
    <row r="45" spans="1:4" ht="12.75" hidden="1">
      <c r="A45" s="13" t="s">
        <v>66</v>
      </c>
      <c r="B45" s="17" t="s">
        <v>67</v>
      </c>
      <c r="C45" s="15"/>
      <c r="D45" s="16" t="s">
        <v>233</v>
      </c>
    </row>
    <row r="46" spans="1:4" ht="12.75" hidden="1">
      <c r="A46" s="13" t="s">
        <v>68</v>
      </c>
      <c r="B46" s="17" t="s">
        <v>67</v>
      </c>
      <c r="C46" s="15"/>
      <c r="D46" s="16" t="s">
        <v>233</v>
      </c>
    </row>
    <row r="47" spans="1:4" ht="12.75" hidden="1">
      <c r="A47" s="13" t="s">
        <v>70</v>
      </c>
      <c r="B47" s="17" t="s">
        <v>39</v>
      </c>
      <c r="C47" s="15"/>
      <c r="D47" s="16" t="s">
        <v>233</v>
      </c>
    </row>
    <row r="48" spans="1:4" ht="12.75" hidden="1">
      <c r="A48" s="13" t="s">
        <v>72</v>
      </c>
      <c r="B48" s="17" t="s">
        <v>39</v>
      </c>
      <c r="C48" s="15"/>
      <c r="D48" s="16" t="s">
        <v>233</v>
      </c>
    </row>
    <row r="49" spans="1:4" ht="12.75" hidden="1">
      <c r="A49" s="13" t="s">
        <v>73</v>
      </c>
      <c r="B49" s="17" t="s">
        <v>67</v>
      </c>
      <c r="C49" s="15"/>
      <c r="D49" s="16" t="s">
        <v>233</v>
      </c>
    </row>
    <row r="50" spans="1:4" ht="12.75">
      <c r="A50" s="13" t="s">
        <v>74</v>
      </c>
      <c r="B50" s="17" t="s">
        <v>39</v>
      </c>
      <c r="C50" s="15">
        <v>948.7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25.5" customHeight="1">
      <c r="A56" s="13" t="s">
        <v>82</v>
      </c>
      <c r="B56" s="24" t="s">
        <v>79</v>
      </c>
      <c r="C56" s="24"/>
      <c r="D56" s="13" t="s">
        <v>83</v>
      </c>
    </row>
    <row r="57" spans="1:4" ht="25.5" customHeight="1">
      <c r="A57" s="13" t="s">
        <v>84</v>
      </c>
      <c r="B57" s="24" t="s">
        <v>79</v>
      </c>
      <c r="C57" s="24"/>
      <c r="D57" s="13" t="s">
        <v>83</v>
      </c>
    </row>
    <row r="58" spans="1:4" ht="24.75" customHeight="1">
      <c r="A58" s="13" t="s">
        <v>85</v>
      </c>
      <c r="B58" s="24" t="s">
        <v>79</v>
      </c>
      <c r="C58" s="24"/>
      <c r="D58" s="13" t="s">
        <v>86</v>
      </c>
    </row>
    <row r="59" spans="1:4" ht="26.25" customHeight="1">
      <c r="A59" s="13" t="s">
        <v>87</v>
      </c>
      <c r="B59" s="24" t="s">
        <v>79</v>
      </c>
      <c r="C59" s="24"/>
      <c r="D59" s="13" t="s">
        <v>88</v>
      </c>
    </row>
    <row r="60" spans="1:4" ht="25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5.5" customHeight="1">
      <c r="A62" s="13" t="s">
        <v>91</v>
      </c>
      <c r="B62" s="24" t="s">
        <v>79</v>
      </c>
      <c r="C62" s="24"/>
      <c r="D62" s="13" t="s">
        <v>92</v>
      </c>
    </row>
    <row r="63" spans="1:4" ht="25.5" customHeight="1">
      <c r="A63" s="25" t="s">
        <v>93</v>
      </c>
      <c r="B63" s="26" t="s">
        <v>79</v>
      </c>
      <c r="C63" s="26"/>
      <c r="D63" s="27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27.75" customHeight="1">
      <c r="A65" s="13" t="s">
        <v>96</v>
      </c>
      <c r="B65" s="24" t="s">
        <v>79</v>
      </c>
      <c r="C65" s="24"/>
      <c r="D65" s="13" t="s">
        <v>88</v>
      </c>
    </row>
    <row r="66" spans="1:4" ht="25.5" customHeight="1">
      <c r="A66" s="13" t="s">
        <v>97</v>
      </c>
      <c r="B66" s="24" t="s">
        <v>79</v>
      </c>
      <c r="C66" s="24"/>
      <c r="D66" s="13" t="s">
        <v>98</v>
      </c>
    </row>
    <row r="67" spans="1:4" ht="25.5" customHeight="1">
      <c r="A67" s="13" t="s">
        <v>99</v>
      </c>
      <c r="B67" s="24" t="s">
        <v>79</v>
      </c>
      <c r="C67" s="24"/>
      <c r="D67" s="13" t="s">
        <v>100</v>
      </c>
    </row>
    <row r="68" spans="1:4" ht="27.75" customHeight="1">
      <c r="A68" s="13" t="s">
        <v>101</v>
      </c>
      <c r="B68" s="24" t="s">
        <v>79</v>
      </c>
      <c r="C68" s="24"/>
      <c r="D68" s="13" t="s">
        <v>88</v>
      </c>
    </row>
    <row r="69" spans="1:4" ht="26.25" customHeight="1">
      <c r="A69" s="13" t="s">
        <v>102</v>
      </c>
      <c r="B69" s="24" t="s">
        <v>79</v>
      </c>
      <c r="C69" s="24"/>
      <c r="D69" s="13" t="s">
        <v>60</v>
      </c>
    </row>
    <row r="70" spans="1:4" ht="30" customHeight="1">
      <c r="A70" s="13" t="s">
        <v>103</v>
      </c>
      <c r="B70" s="24" t="s">
        <v>79</v>
      </c>
      <c r="C70" s="24"/>
      <c r="D70" s="13" t="s">
        <v>104</v>
      </c>
    </row>
    <row r="71" spans="1:4" ht="25.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4.75" customHeight="1">
      <c r="A73" s="13" t="s">
        <v>89</v>
      </c>
      <c r="B73" s="24" t="s">
        <v>79</v>
      </c>
      <c r="C73" s="24"/>
      <c r="D73" s="13" t="s">
        <v>40</v>
      </c>
    </row>
    <row r="74" spans="1:4" ht="25.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4" ht="27.75" customHeight="1">
      <c r="A76" s="13" t="s">
        <v>111</v>
      </c>
      <c r="B76" s="14" t="s">
        <v>112</v>
      </c>
      <c r="C76" s="15">
        <f>246*1.15*12</f>
        <v>3394.7999999999997</v>
      </c>
      <c r="D76" s="74" t="s">
        <v>69</v>
      </c>
    </row>
    <row r="77" spans="1:4" ht="12.75">
      <c r="A77" s="13" t="s">
        <v>113</v>
      </c>
      <c r="B77" s="33" t="s">
        <v>112</v>
      </c>
      <c r="C77" s="15">
        <f>0.75*2*2*51</f>
        <v>153</v>
      </c>
      <c r="D77" s="74" t="s">
        <v>114</v>
      </c>
    </row>
    <row r="78" spans="1:4" ht="12.75">
      <c r="A78" s="13" t="s">
        <v>115</v>
      </c>
      <c r="B78" s="14" t="s">
        <v>67</v>
      </c>
      <c r="C78" s="15">
        <v>5</v>
      </c>
      <c r="D78" s="74" t="s">
        <v>116</v>
      </c>
    </row>
    <row r="79" spans="1:4" ht="12.75" customHeight="1">
      <c r="A79" s="75" t="s">
        <v>117</v>
      </c>
      <c r="B79" s="75"/>
      <c r="C79" s="76"/>
      <c r="D79" s="77"/>
    </row>
    <row r="80" spans="1:4" ht="12.75">
      <c r="A80" s="35" t="s">
        <v>118</v>
      </c>
      <c r="B80" s="36"/>
      <c r="C80" s="37"/>
      <c r="D80" s="38"/>
    </row>
    <row r="81" spans="1:4" ht="12.75">
      <c r="A81" s="39" t="s">
        <v>263</v>
      </c>
      <c r="B81" s="40" t="s">
        <v>39</v>
      </c>
      <c r="C81" s="41">
        <v>27</v>
      </c>
      <c r="D81" s="42"/>
    </row>
    <row r="82" spans="1:4" s="1" customFormat="1" ht="12.75">
      <c r="A82" s="43" t="s">
        <v>264</v>
      </c>
      <c r="B82" s="41" t="s">
        <v>67</v>
      </c>
      <c r="C82" s="41">
        <f>7+2+7</f>
        <v>16</v>
      </c>
      <c r="D82" s="44"/>
    </row>
    <row r="83" spans="1:4" ht="12.75">
      <c r="A83" s="39" t="s">
        <v>265</v>
      </c>
      <c r="B83" s="40" t="s">
        <v>67</v>
      </c>
      <c r="C83" s="40">
        <v>7</v>
      </c>
      <c r="D83" s="42"/>
    </row>
    <row r="84" spans="1:4" ht="12.75">
      <c r="A84" s="35" t="s">
        <v>235</v>
      </c>
      <c r="B84" s="36"/>
      <c r="C84" s="36"/>
      <c r="D84" s="45"/>
    </row>
    <row r="85" spans="1:4" ht="12.75">
      <c r="A85" s="88" t="s">
        <v>237</v>
      </c>
      <c r="B85" s="40" t="s">
        <v>67</v>
      </c>
      <c r="C85" s="40">
        <f>1</f>
        <v>1</v>
      </c>
      <c r="D85" s="42"/>
    </row>
    <row r="86" spans="1:4" ht="12.75">
      <c r="A86" s="35" t="s">
        <v>126</v>
      </c>
      <c r="B86" s="36"/>
      <c r="C86" s="36"/>
      <c r="D86" s="45"/>
    </row>
    <row r="87" spans="1:4" ht="12.75">
      <c r="A87" s="43" t="s">
        <v>212</v>
      </c>
      <c r="B87" s="46" t="s">
        <v>67</v>
      </c>
      <c r="C87" s="41">
        <f>1</f>
        <v>1</v>
      </c>
      <c r="D87" s="42"/>
    </row>
    <row r="88" spans="1:4" ht="12.75">
      <c r="A88" s="43" t="s">
        <v>129</v>
      </c>
      <c r="B88" s="40" t="s">
        <v>67</v>
      </c>
      <c r="C88" s="41">
        <f>2+1+1+1</f>
        <v>5</v>
      </c>
      <c r="D88" s="42"/>
    </row>
    <row r="89" spans="1:4" s="1" customFormat="1" ht="12.75">
      <c r="A89" s="43" t="s">
        <v>131</v>
      </c>
      <c r="B89" s="41" t="s">
        <v>67</v>
      </c>
      <c r="C89" s="41">
        <v>2</v>
      </c>
      <c r="D89" s="68" t="s">
        <v>186</v>
      </c>
    </row>
    <row r="90" spans="1:4" ht="12.75">
      <c r="A90" s="43" t="s">
        <v>266</v>
      </c>
      <c r="B90" s="46" t="s">
        <v>133</v>
      </c>
      <c r="C90" s="41">
        <v>2</v>
      </c>
      <c r="D90" s="42"/>
    </row>
    <row r="91" spans="1:4" ht="12.75">
      <c r="A91" s="43" t="s">
        <v>132</v>
      </c>
      <c r="B91" s="40" t="s">
        <v>133</v>
      </c>
      <c r="C91" s="41">
        <v>3</v>
      </c>
      <c r="D91" s="42"/>
    </row>
    <row r="92" spans="1:4" ht="12.75">
      <c r="A92" s="43" t="s">
        <v>190</v>
      </c>
      <c r="B92" s="40" t="s">
        <v>67</v>
      </c>
      <c r="C92" s="41">
        <f>1+2+1+2</f>
        <v>6</v>
      </c>
      <c r="D92" s="42"/>
    </row>
    <row r="93" spans="1:4" ht="12.75">
      <c r="A93" s="43" t="s">
        <v>134</v>
      </c>
      <c r="B93" s="40" t="s">
        <v>39</v>
      </c>
      <c r="C93" s="41">
        <f>0.8+1.1+0.7+0.4+0.4+0.3+0.5</f>
        <v>4.199999999999999</v>
      </c>
      <c r="D93" s="42"/>
    </row>
    <row r="94" spans="1:4" ht="12.75">
      <c r="A94" s="43" t="s">
        <v>136</v>
      </c>
      <c r="B94" s="40" t="s">
        <v>67</v>
      </c>
      <c r="C94" s="40">
        <f>1+2</f>
        <v>3</v>
      </c>
      <c r="D94" s="42"/>
    </row>
    <row r="95" spans="1:4" ht="12.75">
      <c r="A95" s="88" t="s">
        <v>267</v>
      </c>
      <c r="B95" s="40" t="s">
        <v>122</v>
      </c>
      <c r="C95" s="41">
        <v>1</v>
      </c>
      <c r="D95" s="42"/>
    </row>
    <row r="96" spans="1:4" ht="12.75">
      <c r="A96" s="88" t="s">
        <v>268</v>
      </c>
      <c r="B96" s="40" t="s">
        <v>67</v>
      </c>
      <c r="C96" s="41">
        <v>2</v>
      </c>
      <c r="D96" s="42"/>
    </row>
    <row r="97" spans="1:4" ht="12.75">
      <c r="A97" s="35" t="s">
        <v>238</v>
      </c>
      <c r="B97" s="36"/>
      <c r="C97" s="36"/>
      <c r="D97" s="45"/>
    </row>
    <row r="98" spans="1:4" s="1" customFormat="1" ht="12.75">
      <c r="A98" s="43" t="s">
        <v>269</v>
      </c>
      <c r="B98" s="41" t="s">
        <v>67</v>
      </c>
      <c r="C98" s="41">
        <v>6</v>
      </c>
      <c r="D98" s="68"/>
    </row>
    <row r="99" spans="1:4" ht="12.75">
      <c r="A99" s="35" t="s">
        <v>139</v>
      </c>
      <c r="B99" s="36"/>
      <c r="C99" s="36"/>
      <c r="D99" s="45"/>
    </row>
    <row r="100" spans="1:4" ht="12.75">
      <c r="A100" s="39" t="s">
        <v>140</v>
      </c>
      <c r="B100" s="40" t="s">
        <v>39</v>
      </c>
      <c r="C100" s="40">
        <v>3.3</v>
      </c>
      <c r="D100" s="42"/>
    </row>
    <row r="101" spans="1:4" ht="12.75">
      <c r="A101" s="35" t="s">
        <v>213</v>
      </c>
      <c r="B101" s="36"/>
      <c r="C101" s="36"/>
      <c r="D101" s="45"/>
    </row>
    <row r="102" spans="1:4" ht="12.75">
      <c r="A102" s="43" t="s">
        <v>218</v>
      </c>
      <c r="B102" s="41" t="s">
        <v>39</v>
      </c>
      <c r="C102" s="41">
        <f>0.5</f>
        <v>0.5</v>
      </c>
      <c r="D102" s="42"/>
    </row>
    <row r="103" spans="1:4" ht="12.75">
      <c r="A103" s="43" t="s">
        <v>270</v>
      </c>
      <c r="B103" s="41" t="s">
        <v>39</v>
      </c>
      <c r="C103" s="40">
        <v>3</v>
      </c>
      <c r="D103" s="42"/>
    </row>
    <row r="104" spans="1:4" s="1" customFormat="1" ht="12.75">
      <c r="A104" s="80" t="s">
        <v>241</v>
      </c>
      <c r="B104" s="41" t="s">
        <v>67</v>
      </c>
      <c r="C104" s="41">
        <v>2</v>
      </c>
      <c r="D104" s="47"/>
    </row>
    <row r="105" spans="1:4" ht="12.75">
      <c r="A105" s="49" t="s">
        <v>141</v>
      </c>
      <c r="B105" s="36"/>
      <c r="C105" s="36"/>
      <c r="D105" s="45"/>
    </row>
    <row r="106" spans="1:4" ht="12.75">
      <c r="A106" s="52" t="s">
        <v>256</v>
      </c>
      <c r="B106" s="40" t="s">
        <v>133</v>
      </c>
      <c r="C106" s="40">
        <v>5.2</v>
      </c>
      <c r="D106" s="42"/>
    </row>
    <row r="107" spans="1:4" ht="12.75">
      <c r="A107" s="51" t="s">
        <v>218</v>
      </c>
      <c r="B107" s="41" t="s">
        <v>39</v>
      </c>
      <c r="C107" s="41">
        <f>7.6+10+33.4</f>
        <v>51</v>
      </c>
      <c r="D107" s="42"/>
    </row>
    <row r="108" spans="1:4" s="1" customFormat="1" ht="12.75">
      <c r="A108" s="43" t="s">
        <v>220</v>
      </c>
      <c r="B108" s="41" t="s">
        <v>67</v>
      </c>
      <c r="C108" s="41">
        <f>1</f>
        <v>1</v>
      </c>
      <c r="D108" s="68"/>
    </row>
    <row r="109" spans="1:4" ht="12.75">
      <c r="A109" s="51" t="s">
        <v>143</v>
      </c>
      <c r="B109" s="40" t="s">
        <v>67</v>
      </c>
      <c r="C109" s="41">
        <f>2</f>
        <v>2</v>
      </c>
      <c r="D109" s="42"/>
    </row>
    <row r="110" spans="1:4" ht="12.75">
      <c r="A110" s="51" t="s">
        <v>144</v>
      </c>
      <c r="B110" s="40" t="s">
        <v>67</v>
      </c>
      <c r="C110" s="40">
        <v>1</v>
      </c>
      <c r="D110" s="42"/>
    </row>
    <row r="111" spans="1:4" ht="12.75">
      <c r="A111" s="49" t="s">
        <v>145</v>
      </c>
      <c r="B111" s="36"/>
      <c r="C111" s="36"/>
      <c r="D111" s="45"/>
    </row>
    <row r="112" spans="1:4" ht="12.75">
      <c r="A112" s="52" t="s">
        <v>194</v>
      </c>
      <c r="B112" s="41" t="s">
        <v>133</v>
      </c>
      <c r="C112" s="40">
        <f>1+10+6</f>
        <v>17</v>
      </c>
      <c r="D112" s="42"/>
    </row>
    <row r="113" spans="1:4" ht="12.75">
      <c r="A113" s="52" t="s">
        <v>195</v>
      </c>
      <c r="B113" s="41" t="s">
        <v>112</v>
      </c>
      <c r="C113" s="40">
        <v>7</v>
      </c>
      <c r="D113" s="42"/>
    </row>
    <row r="114" spans="1:4" ht="12.75">
      <c r="A114" s="52" t="s">
        <v>243</v>
      </c>
      <c r="B114" s="41" t="s">
        <v>39</v>
      </c>
      <c r="C114" s="40">
        <v>230</v>
      </c>
      <c r="D114" s="42"/>
    </row>
    <row r="115" spans="1:4" ht="12.75">
      <c r="A115" s="52" t="s">
        <v>147</v>
      </c>
      <c r="B115" s="40" t="s">
        <v>67</v>
      </c>
      <c r="C115" s="40">
        <v>2</v>
      </c>
      <c r="D115" s="42"/>
    </row>
    <row r="116" spans="1:4" ht="12.75">
      <c r="A116" s="52" t="s">
        <v>149</v>
      </c>
      <c r="B116" s="40" t="s">
        <v>67</v>
      </c>
      <c r="C116" s="40">
        <v>5</v>
      </c>
      <c r="D116" s="42"/>
    </row>
    <row r="117" spans="1:4" s="1" customFormat="1" ht="12.75">
      <c r="A117" s="80" t="s">
        <v>151</v>
      </c>
      <c r="B117" s="41" t="s">
        <v>39</v>
      </c>
      <c r="C117" s="41">
        <v>210</v>
      </c>
      <c r="D117" s="68" t="s">
        <v>130</v>
      </c>
    </row>
    <row r="118" spans="1:4" ht="12.75">
      <c r="A118" s="52" t="s">
        <v>197</v>
      </c>
      <c r="B118" s="41" t="s">
        <v>67</v>
      </c>
      <c r="C118" s="40">
        <v>3</v>
      </c>
      <c r="D118" s="42"/>
    </row>
    <row r="119" spans="1:4" ht="12.75">
      <c r="A119" s="52" t="s">
        <v>271</v>
      </c>
      <c r="B119" s="41" t="s">
        <v>67</v>
      </c>
      <c r="C119" s="40">
        <v>1</v>
      </c>
      <c r="D119" s="42"/>
    </row>
    <row r="120" spans="1:4" ht="12.75">
      <c r="A120" s="52" t="s">
        <v>198</v>
      </c>
      <c r="B120" s="41" t="s">
        <v>67</v>
      </c>
      <c r="C120" s="40">
        <v>2</v>
      </c>
      <c r="D120" s="42"/>
    </row>
    <row r="121" spans="1:4" ht="12.75">
      <c r="A121" s="52" t="s">
        <v>199</v>
      </c>
      <c r="B121" s="41" t="s">
        <v>67</v>
      </c>
      <c r="C121" s="40">
        <v>1</v>
      </c>
      <c r="D121" s="42"/>
    </row>
    <row r="122" spans="1:4" ht="12.75">
      <c r="A122" s="52" t="s">
        <v>155</v>
      </c>
      <c r="B122" s="41" t="s">
        <v>112</v>
      </c>
      <c r="C122" s="41">
        <f>7</f>
        <v>7</v>
      </c>
      <c r="D122" s="42"/>
    </row>
    <row r="123" spans="1:4" ht="12.75">
      <c r="A123" s="49" t="s">
        <v>157</v>
      </c>
      <c r="B123" s="36"/>
      <c r="C123" s="36"/>
      <c r="D123" s="45"/>
    </row>
    <row r="124" spans="1:4" ht="12.75">
      <c r="A124" s="51" t="s">
        <v>160</v>
      </c>
      <c r="B124" s="40" t="s">
        <v>67</v>
      </c>
      <c r="C124" s="40">
        <v>2</v>
      </c>
      <c r="D124" s="42"/>
    </row>
    <row r="125" spans="1:4" ht="25.5">
      <c r="A125" s="35" t="s">
        <v>161</v>
      </c>
      <c r="B125" s="36"/>
      <c r="C125" s="60"/>
      <c r="D125" s="45"/>
    </row>
    <row r="126" spans="1:4" ht="12.75">
      <c r="A126" s="54" t="s">
        <v>162</v>
      </c>
      <c r="B126" s="55" t="s">
        <v>39</v>
      </c>
      <c r="C126" s="56">
        <v>948.7</v>
      </c>
      <c r="D126" s="68" t="s">
        <v>44</v>
      </c>
    </row>
    <row r="127" spans="1:4" ht="25.5">
      <c r="A127" s="54" t="s">
        <v>163</v>
      </c>
      <c r="B127" s="58" t="s">
        <v>39</v>
      </c>
      <c r="C127" s="56">
        <v>948.7</v>
      </c>
      <c r="D127" s="89" t="s">
        <v>164</v>
      </c>
    </row>
    <row r="128" spans="1:4" ht="15">
      <c r="A128" s="35" t="s">
        <v>165</v>
      </c>
      <c r="B128" s="36"/>
      <c r="C128" s="60"/>
      <c r="D128" s="45"/>
    </row>
    <row r="129" spans="1:4" ht="12.75">
      <c r="A129" s="54" t="s">
        <v>162</v>
      </c>
      <c r="B129" s="55" t="s">
        <v>39</v>
      </c>
      <c r="C129" s="56">
        <f>948.7+53.76</f>
        <v>1002.46</v>
      </c>
      <c r="D129" s="68" t="s">
        <v>44</v>
      </c>
    </row>
    <row r="130" spans="1:4" ht="12.75">
      <c r="A130" s="54" t="s">
        <v>163</v>
      </c>
      <c r="B130" s="55" t="s">
        <v>39</v>
      </c>
      <c r="C130" s="56">
        <f>948.7+53.76</f>
        <v>1002.46</v>
      </c>
      <c r="D130" s="89" t="s">
        <v>164</v>
      </c>
    </row>
    <row r="131" spans="1:4" ht="12.75">
      <c r="A131" s="35" t="s">
        <v>166</v>
      </c>
      <c r="B131" s="36"/>
      <c r="C131" s="60"/>
      <c r="D131" s="45"/>
    </row>
    <row r="132" spans="1:4" ht="12.75">
      <c r="A132" s="54" t="s">
        <v>162</v>
      </c>
      <c r="B132" s="55" t="s">
        <v>39</v>
      </c>
      <c r="C132" s="56">
        <f>948.7+138.2+344.3</f>
        <v>1431.2</v>
      </c>
      <c r="D132" s="47" t="s">
        <v>175</v>
      </c>
    </row>
    <row r="133" spans="1:4" ht="12.75">
      <c r="A133" s="54" t="s">
        <v>163</v>
      </c>
      <c r="B133" s="58" t="s">
        <v>39</v>
      </c>
      <c r="C133" s="56">
        <f>948.7+138.2+344.3</f>
        <v>1431.2</v>
      </c>
      <c r="D133" s="89" t="s">
        <v>164</v>
      </c>
    </row>
    <row r="135" ht="12.75">
      <c r="A135" s="90"/>
    </row>
  </sheetData>
  <sheetProtection selectLockedCells="1" selectUnlockedCells="1"/>
  <mergeCells count="32">
    <mergeCell ref="A2:C2"/>
    <mergeCell ref="A3:C3"/>
    <mergeCell ref="A4:C4"/>
    <mergeCell ref="A5:C5"/>
    <mergeCell ref="A6:C6"/>
    <mergeCell ref="A27:C27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5902777777777778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E136"/>
  <sheetViews>
    <sheetView workbookViewId="0" topLeftCell="A112">
      <selection activeCell="A138" sqref="A138"/>
    </sheetView>
  </sheetViews>
  <sheetFormatPr defaultColWidth="9.00390625" defaultRowHeight="12.75"/>
  <cols>
    <col min="1" max="1" width="48.625" style="1" customWidth="1"/>
    <col min="2" max="2" width="10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272</v>
      </c>
      <c r="B4" s="3"/>
      <c r="C4" s="3"/>
    </row>
    <row r="5" spans="1:3" ht="18.75" customHeight="1">
      <c r="A5" s="2" t="s">
        <v>4</v>
      </c>
      <c r="B5" s="2"/>
      <c r="C5" s="2"/>
    </row>
    <row r="6" ht="27" customHeight="1"/>
    <row r="7" spans="1:3" ht="12.75">
      <c r="A7" s="1" t="s">
        <v>5</v>
      </c>
      <c r="C7" s="4" t="s">
        <v>273</v>
      </c>
    </row>
    <row r="8" spans="1:3" ht="12.75">
      <c r="A8" s="1" t="s">
        <v>7</v>
      </c>
      <c r="C8" s="4" t="s">
        <v>274</v>
      </c>
    </row>
    <row r="9" spans="1:3" ht="12.75">
      <c r="A9" s="1" t="s">
        <v>9</v>
      </c>
      <c r="C9" s="70" t="s">
        <v>275</v>
      </c>
    </row>
    <row r="10" ht="12.75">
      <c r="C10" s="7"/>
    </row>
    <row r="11" spans="1:3" ht="12.75">
      <c r="A11" s="1" t="s">
        <v>11</v>
      </c>
      <c r="C11" s="7" t="s">
        <v>276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7"/>
    </row>
    <row r="24" spans="1:3" ht="12.75">
      <c r="A24" s="1" t="s">
        <v>32</v>
      </c>
      <c r="C24" s="71">
        <v>0.8627</v>
      </c>
    </row>
    <row r="25" spans="1:3" ht="14.25" customHeight="1">
      <c r="A25" s="72"/>
      <c r="C25" s="7"/>
    </row>
    <row r="26" spans="1:3" ht="25.5" customHeight="1">
      <c r="A26" s="10" t="s">
        <v>33</v>
      </c>
      <c r="B26" s="10"/>
      <c r="C26" s="10"/>
    </row>
    <row r="27" ht="12.75"/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354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354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663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58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175</v>
      </c>
      <c r="D33" s="16" t="s">
        <v>48</v>
      </c>
    </row>
    <row r="34" spans="1:4" ht="25.5">
      <c r="A34" s="13" t="s">
        <v>49</v>
      </c>
      <c r="B34" s="17" t="s">
        <v>50</v>
      </c>
      <c r="C34" s="15">
        <v>354</v>
      </c>
      <c r="D34" s="16" t="s">
        <v>51</v>
      </c>
    </row>
    <row r="35" spans="1:4" ht="25.5">
      <c r="A35" s="13" t="s">
        <v>52</v>
      </c>
      <c r="B35" s="17" t="s">
        <v>39</v>
      </c>
      <c r="C35" s="15">
        <v>556</v>
      </c>
      <c r="D35" s="16" t="s">
        <v>53</v>
      </c>
    </row>
    <row r="36" spans="1:4" ht="12.75">
      <c r="A36" s="13" t="s">
        <v>54</v>
      </c>
      <c r="B36" s="17" t="s">
        <v>39</v>
      </c>
      <c r="C36" s="15">
        <v>2</v>
      </c>
      <c r="D36" s="16" t="s">
        <v>55</v>
      </c>
    </row>
    <row r="37" spans="1:4" ht="12.75" customHeight="1">
      <c r="A37" s="13" t="s">
        <v>56</v>
      </c>
      <c r="B37" s="17" t="s">
        <v>39</v>
      </c>
      <c r="C37" s="15">
        <v>2</v>
      </c>
      <c r="D37" s="16" t="s">
        <v>57</v>
      </c>
    </row>
    <row r="38" spans="1:4" ht="25.5">
      <c r="A38" s="13"/>
      <c r="B38" s="17" t="s">
        <v>39</v>
      </c>
      <c r="C38" s="15">
        <v>2</v>
      </c>
      <c r="D38" s="16" t="s">
        <v>58</v>
      </c>
    </row>
    <row r="39" spans="1:4" ht="25.5">
      <c r="A39" s="13" t="s">
        <v>59</v>
      </c>
      <c r="B39" s="17" t="s">
        <v>39</v>
      </c>
      <c r="C39" s="15">
        <v>18</v>
      </c>
      <c r="D39" s="16" t="s">
        <v>60</v>
      </c>
    </row>
    <row r="40" spans="1:4" ht="12.75">
      <c r="A40" s="13" t="s">
        <v>61</v>
      </c>
      <c r="B40" s="17" t="s">
        <v>39</v>
      </c>
      <c r="C40" s="15">
        <v>620.8</v>
      </c>
      <c r="D40" s="16" t="s">
        <v>46</v>
      </c>
    </row>
    <row r="41" spans="1:4" ht="25.5">
      <c r="A41" s="13" t="s">
        <v>62</v>
      </c>
      <c r="B41" s="17" t="s">
        <v>39</v>
      </c>
      <c r="C41" s="15">
        <v>354</v>
      </c>
      <c r="D41" s="16" t="s">
        <v>53</v>
      </c>
    </row>
    <row r="42" spans="1:4" ht="12.75">
      <c r="A42" s="13" t="s">
        <v>63</v>
      </c>
      <c r="B42" s="17" t="s">
        <v>39</v>
      </c>
      <c r="C42" s="15">
        <v>2</v>
      </c>
      <c r="D42" s="16" t="s">
        <v>44</v>
      </c>
    </row>
    <row r="43" spans="1:4" ht="12.75">
      <c r="A43" s="13" t="s">
        <v>64</v>
      </c>
      <c r="B43" s="17" t="s">
        <v>39</v>
      </c>
      <c r="C43" s="15">
        <v>80.4</v>
      </c>
      <c r="D43" s="16" t="s">
        <v>44</v>
      </c>
    </row>
    <row r="44" spans="1:4" ht="25.5">
      <c r="A44" s="13" t="s">
        <v>65</v>
      </c>
      <c r="B44" s="17" t="s">
        <v>39</v>
      </c>
      <c r="C44" s="15">
        <v>38</v>
      </c>
      <c r="D44" s="16" t="s">
        <v>53</v>
      </c>
    </row>
    <row r="45" spans="1:4" ht="12.75">
      <c r="A45" s="13" t="s">
        <v>66</v>
      </c>
      <c r="B45" s="17" t="s">
        <v>67</v>
      </c>
      <c r="C45" s="15">
        <v>2</v>
      </c>
      <c r="D45" s="16" t="s">
        <v>60</v>
      </c>
    </row>
    <row r="46" spans="1:4" ht="25.5">
      <c r="A46" s="13" t="s">
        <v>68</v>
      </c>
      <c r="B46" s="17" t="s">
        <v>67</v>
      </c>
      <c r="C46" s="15">
        <v>2</v>
      </c>
      <c r="D46" s="16" t="s">
        <v>69</v>
      </c>
    </row>
    <row r="47" spans="1:4" ht="12.75">
      <c r="A47" s="13" t="s">
        <v>70</v>
      </c>
      <c r="B47" s="17" t="s">
        <v>39</v>
      </c>
      <c r="C47" s="15">
        <v>10</v>
      </c>
      <c r="D47" s="16" t="s">
        <v>71</v>
      </c>
    </row>
    <row r="48" spans="1:4" ht="25.5">
      <c r="A48" s="13" t="s">
        <v>72</v>
      </c>
      <c r="B48" s="17" t="s">
        <v>39</v>
      </c>
      <c r="C48" s="15">
        <f>1*1.88*8*2</f>
        <v>30.08</v>
      </c>
      <c r="D48" s="16" t="s">
        <v>53</v>
      </c>
    </row>
    <row r="49" spans="1:4" ht="25.5">
      <c r="A49" s="13" t="s">
        <v>73</v>
      </c>
      <c r="B49" s="17" t="s">
        <v>67</v>
      </c>
      <c r="C49" s="15">
        <v>2</v>
      </c>
      <c r="D49" s="16" t="s">
        <v>44</v>
      </c>
    </row>
    <row r="50" spans="1:4" ht="12.75">
      <c r="A50" s="13" t="s">
        <v>74</v>
      </c>
      <c r="B50" s="17" t="s">
        <v>39</v>
      </c>
      <c r="C50" s="15">
        <v>585.2</v>
      </c>
      <c r="D50" s="16" t="s">
        <v>60</v>
      </c>
    </row>
    <row r="51" spans="1:4" ht="12.75" customHeight="1">
      <c r="A51" s="18" t="s">
        <v>75</v>
      </c>
      <c r="B51" s="18"/>
      <c r="C51" s="18"/>
      <c r="D51" s="19"/>
    </row>
    <row r="52" spans="1:4" ht="12.75" customHeight="1">
      <c r="A52" s="20" t="s">
        <v>76</v>
      </c>
      <c r="B52" s="20"/>
      <c r="C52" s="20"/>
      <c r="D52" s="21"/>
    </row>
    <row r="53" spans="1:4" ht="12.75" customHeight="1">
      <c r="A53" s="22" t="s">
        <v>77</v>
      </c>
      <c r="B53" s="22"/>
      <c r="C53" s="22"/>
      <c r="D53" s="23"/>
    </row>
    <row r="54" spans="1:4" ht="25.5" customHeight="1">
      <c r="A54" s="13" t="s">
        <v>78</v>
      </c>
      <c r="B54" s="24" t="s">
        <v>79</v>
      </c>
      <c r="C54" s="24"/>
      <c r="D54" s="13" t="s">
        <v>80</v>
      </c>
    </row>
    <row r="55" spans="1:4" ht="25.5" customHeight="1">
      <c r="A55" s="13" t="s">
        <v>81</v>
      </c>
      <c r="B55" s="24" t="s">
        <v>79</v>
      </c>
      <c r="C55" s="24"/>
      <c r="D55" s="13" t="s">
        <v>80</v>
      </c>
    </row>
    <row r="56" spans="1:4" ht="25.5" customHeight="1">
      <c r="A56" s="13" t="s">
        <v>82</v>
      </c>
      <c r="B56" s="24" t="s">
        <v>79</v>
      </c>
      <c r="C56" s="24"/>
      <c r="D56" s="13" t="s">
        <v>83</v>
      </c>
    </row>
    <row r="57" spans="1:4" ht="25.5" customHeight="1">
      <c r="A57" s="13" t="s">
        <v>84</v>
      </c>
      <c r="B57" s="24" t="s">
        <v>79</v>
      </c>
      <c r="C57" s="24"/>
      <c r="D57" s="13" t="s">
        <v>83</v>
      </c>
    </row>
    <row r="58" spans="1:4" ht="26.25" customHeight="1">
      <c r="A58" s="13" t="s">
        <v>85</v>
      </c>
      <c r="B58" s="24" t="s">
        <v>79</v>
      </c>
      <c r="C58" s="24"/>
      <c r="D58" s="13" t="s">
        <v>86</v>
      </c>
    </row>
    <row r="59" spans="1:4" ht="36" customHeight="1">
      <c r="A59" s="13" t="s">
        <v>87</v>
      </c>
      <c r="B59" s="24" t="s">
        <v>79</v>
      </c>
      <c r="C59" s="24"/>
      <c r="D59" s="13" t="s">
        <v>88</v>
      </c>
    </row>
    <row r="60" spans="1:4" ht="25.5" customHeight="1">
      <c r="A60" s="13" t="s">
        <v>89</v>
      </c>
      <c r="B60" s="24" t="s">
        <v>79</v>
      </c>
      <c r="C60" s="24"/>
      <c r="D60" s="13" t="s">
        <v>40</v>
      </c>
    </row>
    <row r="61" spans="1:4" ht="25.5" customHeight="1">
      <c r="A61" s="13" t="s">
        <v>90</v>
      </c>
      <c r="B61" s="24" t="s">
        <v>79</v>
      </c>
      <c r="C61" s="24"/>
      <c r="D61" s="13" t="s">
        <v>88</v>
      </c>
    </row>
    <row r="62" spans="1:4" ht="25.5" customHeight="1">
      <c r="A62" s="13" t="s">
        <v>91</v>
      </c>
      <c r="B62" s="24" t="s">
        <v>79</v>
      </c>
      <c r="C62" s="24"/>
      <c r="D62" s="13" t="s">
        <v>92</v>
      </c>
    </row>
    <row r="63" spans="1:4" ht="25.5" customHeight="1">
      <c r="A63" s="25" t="s">
        <v>93</v>
      </c>
      <c r="B63" s="26" t="s">
        <v>79</v>
      </c>
      <c r="C63" s="26"/>
      <c r="D63" s="27" t="s">
        <v>94</v>
      </c>
    </row>
    <row r="64" spans="1:4" ht="12.75" customHeight="1">
      <c r="A64" s="28" t="s">
        <v>95</v>
      </c>
      <c r="B64" s="28"/>
      <c r="C64" s="29"/>
      <c r="D64" s="30"/>
    </row>
    <row r="65" spans="1:4" ht="38.25" customHeight="1">
      <c r="A65" s="13" t="s">
        <v>96</v>
      </c>
      <c r="B65" s="24" t="s">
        <v>79</v>
      </c>
      <c r="C65" s="24"/>
      <c r="D65" s="13" t="s">
        <v>88</v>
      </c>
    </row>
    <row r="66" spans="1:4" ht="25.5" customHeight="1">
      <c r="A66" s="13" t="s">
        <v>97</v>
      </c>
      <c r="B66" s="24" t="s">
        <v>79</v>
      </c>
      <c r="C66" s="24"/>
      <c r="D66" s="13" t="s">
        <v>98</v>
      </c>
    </row>
    <row r="67" spans="1:4" ht="25.5" customHeight="1">
      <c r="A67" s="13" t="s">
        <v>99</v>
      </c>
      <c r="B67" s="24" t="s">
        <v>79</v>
      </c>
      <c r="C67" s="24"/>
      <c r="D67" s="13" t="s">
        <v>100</v>
      </c>
    </row>
    <row r="68" spans="1:4" ht="36.75" customHeight="1">
      <c r="A68" s="13" t="s">
        <v>101</v>
      </c>
      <c r="B68" s="24" t="s">
        <v>79</v>
      </c>
      <c r="C68" s="24"/>
      <c r="D68" s="13" t="s">
        <v>88</v>
      </c>
    </row>
    <row r="69" spans="1:4" ht="26.25" customHeight="1">
      <c r="A69" s="13" t="s">
        <v>102</v>
      </c>
      <c r="B69" s="24" t="s">
        <v>79</v>
      </c>
      <c r="C69" s="24"/>
      <c r="D69" s="13" t="s">
        <v>60</v>
      </c>
    </row>
    <row r="70" spans="1:4" ht="37.5" customHeight="1">
      <c r="A70" s="13" t="s">
        <v>103</v>
      </c>
      <c r="B70" s="24" t="s">
        <v>79</v>
      </c>
      <c r="C70" s="24"/>
      <c r="D70" s="13" t="s">
        <v>104</v>
      </c>
    </row>
    <row r="71" spans="1:4" ht="25.5" customHeight="1">
      <c r="A71" s="13" t="s">
        <v>105</v>
      </c>
      <c r="B71" s="24" t="s">
        <v>79</v>
      </c>
      <c r="C71" s="24"/>
      <c r="D71" s="13" t="s">
        <v>106</v>
      </c>
    </row>
    <row r="72" spans="1:4" ht="25.5" customHeight="1">
      <c r="A72" s="13" t="s">
        <v>107</v>
      </c>
      <c r="B72" s="24" t="s">
        <v>79</v>
      </c>
      <c r="C72" s="24"/>
      <c r="D72" s="13" t="s">
        <v>108</v>
      </c>
    </row>
    <row r="73" spans="1:4" ht="24.75" customHeight="1">
      <c r="A73" s="13" t="s">
        <v>89</v>
      </c>
      <c r="B73" s="24" t="s">
        <v>79</v>
      </c>
      <c r="C73" s="24"/>
      <c r="D73" s="13" t="s">
        <v>40</v>
      </c>
    </row>
    <row r="74" spans="1:4" ht="25.5" customHeight="1">
      <c r="A74" s="13" t="s">
        <v>109</v>
      </c>
      <c r="B74" s="24" t="s">
        <v>79</v>
      </c>
      <c r="C74" s="24"/>
      <c r="D74" s="13" t="s">
        <v>108</v>
      </c>
    </row>
    <row r="75" spans="1:4" ht="12.75" customHeight="1">
      <c r="A75" s="28" t="s">
        <v>110</v>
      </c>
      <c r="B75" s="28"/>
      <c r="C75" s="31"/>
      <c r="D75" s="30"/>
    </row>
    <row r="76" spans="1:4" ht="27.75" customHeight="1">
      <c r="A76" s="13" t="s">
        <v>111</v>
      </c>
      <c r="B76" s="14" t="s">
        <v>112</v>
      </c>
      <c r="C76" s="15">
        <f>216*1.15*12</f>
        <v>2980.7999999999997</v>
      </c>
      <c r="D76" s="32" t="s">
        <v>69</v>
      </c>
    </row>
    <row r="77" spans="1:4" ht="12.75">
      <c r="A77" s="13" t="s">
        <v>113</v>
      </c>
      <c r="B77" s="33" t="s">
        <v>112</v>
      </c>
      <c r="C77" s="15">
        <f>0.75*2*2*51</f>
        <v>153</v>
      </c>
      <c r="D77" s="32" t="s">
        <v>114</v>
      </c>
    </row>
    <row r="78" spans="1:4" ht="12.75">
      <c r="A78" s="13" t="s">
        <v>115</v>
      </c>
      <c r="B78" s="14" t="s">
        <v>67</v>
      </c>
      <c r="C78" s="15">
        <v>2</v>
      </c>
      <c r="D78" s="93" t="s">
        <v>116</v>
      </c>
    </row>
    <row r="79" spans="1:5" ht="12.75" customHeight="1">
      <c r="A79" s="75" t="s">
        <v>117</v>
      </c>
      <c r="B79" s="75"/>
      <c r="C79" s="76"/>
      <c r="D79" s="77"/>
      <c r="E79" s="94"/>
    </row>
    <row r="80" spans="1:5" ht="12.75">
      <c r="A80" s="35" t="s">
        <v>118</v>
      </c>
      <c r="B80" s="36"/>
      <c r="C80" s="37"/>
      <c r="D80" s="38"/>
      <c r="E80" s="94"/>
    </row>
    <row r="81" spans="1:5" ht="12.75">
      <c r="A81" s="39" t="s">
        <v>119</v>
      </c>
      <c r="B81" s="40" t="s">
        <v>39</v>
      </c>
      <c r="C81" s="41">
        <f>14.5+1.3+2+4.5</f>
        <v>22.3</v>
      </c>
      <c r="D81" s="42"/>
      <c r="E81" s="94"/>
    </row>
    <row r="82" spans="1:5" ht="12.75">
      <c r="A82" s="39" t="s">
        <v>120</v>
      </c>
      <c r="B82" s="40" t="s">
        <v>67</v>
      </c>
      <c r="C82" s="41">
        <f>2+2+2+2+2+2</f>
        <v>12</v>
      </c>
      <c r="D82" s="42"/>
      <c r="E82" s="94"/>
    </row>
    <row r="83" spans="1:5" ht="12.75">
      <c r="A83" s="39" t="s">
        <v>264</v>
      </c>
      <c r="B83" s="40" t="s">
        <v>67</v>
      </c>
      <c r="C83" s="41">
        <f>2+1</f>
        <v>3</v>
      </c>
      <c r="D83" s="42"/>
      <c r="E83" s="94"/>
    </row>
    <row r="84" spans="1:5" ht="12.75">
      <c r="A84" s="39" t="s">
        <v>183</v>
      </c>
      <c r="B84" s="40" t="s">
        <v>133</v>
      </c>
      <c r="C84" s="40">
        <v>80</v>
      </c>
      <c r="D84" s="42"/>
      <c r="E84" s="94"/>
    </row>
    <row r="85" spans="1:5" ht="12.75">
      <c r="A85" s="39" t="s">
        <v>121</v>
      </c>
      <c r="B85" s="40" t="s">
        <v>122</v>
      </c>
      <c r="C85" s="40">
        <v>2</v>
      </c>
      <c r="D85" s="42"/>
      <c r="E85" s="94"/>
    </row>
    <row r="86" spans="1:5" ht="12.75">
      <c r="A86" s="35" t="s">
        <v>126</v>
      </c>
      <c r="B86" s="36"/>
      <c r="C86" s="36"/>
      <c r="D86" s="45"/>
      <c r="E86" s="94"/>
    </row>
    <row r="87" spans="1:5" ht="12.75">
      <c r="A87" s="43" t="s">
        <v>127</v>
      </c>
      <c r="B87" s="46" t="s">
        <v>67</v>
      </c>
      <c r="C87" s="41">
        <f>7</f>
        <v>7</v>
      </c>
      <c r="D87" s="42"/>
      <c r="E87" s="94"/>
    </row>
    <row r="88" spans="1:5" ht="12.75">
      <c r="A88" s="43" t="s">
        <v>125</v>
      </c>
      <c r="B88" s="46" t="s">
        <v>67</v>
      </c>
      <c r="C88" s="41">
        <f>2</f>
        <v>2</v>
      </c>
      <c r="D88" s="42"/>
      <c r="E88" s="94"/>
    </row>
    <row r="89" spans="1:5" ht="12.75">
      <c r="A89" s="43" t="s">
        <v>129</v>
      </c>
      <c r="B89" s="40" t="s">
        <v>67</v>
      </c>
      <c r="C89" s="41">
        <v>2</v>
      </c>
      <c r="D89" s="47" t="s">
        <v>130</v>
      </c>
      <c r="E89" s="94"/>
    </row>
    <row r="90" spans="1:5" ht="12.75">
      <c r="A90" s="43" t="s">
        <v>131</v>
      </c>
      <c r="B90" s="40" t="s">
        <v>67</v>
      </c>
      <c r="C90" s="41">
        <v>2</v>
      </c>
      <c r="D90" s="42"/>
      <c r="E90" s="94"/>
    </row>
    <row r="91" spans="1:5" ht="12.75">
      <c r="A91" s="43" t="s">
        <v>187</v>
      </c>
      <c r="B91" s="46" t="s">
        <v>67</v>
      </c>
      <c r="C91" s="41">
        <f>1+1+2</f>
        <v>4</v>
      </c>
      <c r="D91" s="42"/>
      <c r="E91" s="94"/>
    </row>
    <row r="92" spans="1:5" ht="12.75">
      <c r="A92" s="43" t="s">
        <v>189</v>
      </c>
      <c r="B92" s="40" t="s">
        <v>133</v>
      </c>
      <c r="C92" s="41">
        <f>3+3</f>
        <v>6</v>
      </c>
      <c r="D92" s="42"/>
      <c r="E92" s="94"/>
    </row>
    <row r="93" spans="1:5" ht="12.75">
      <c r="A93" s="43" t="s">
        <v>132</v>
      </c>
      <c r="B93" s="40" t="s">
        <v>133</v>
      </c>
      <c r="C93" s="41">
        <v>3</v>
      </c>
      <c r="D93" s="42"/>
      <c r="E93" s="94"/>
    </row>
    <row r="94" spans="1:5" ht="12.75">
      <c r="A94" s="43" t="s">
        <v>134</v>
      </c>
      <c r="B94" s="40" t="s">
        <v>39</v>
      </c>
      <c r="C94" s="41">
        <f>0.3+0.7+1.4+1.7+0.7+1.6</f>
        <v>6.4</v>
      </c>
      <c r="D94" s="42"/>
      <c r="E94" s="94"/>
    </row>
    <row r="95" spans="1:5" ht="12.75">
      <c r="A95" s="43" t="s">
        <v>277</v>
      </c>
      <c r="B95" s="40" t="s">
        <v>67</v>
      </c>
      <c r="C95" s="41">
        <f>1+1</f>
        <v>2</v>
      </c>
      <c r="D95" s="42"/>
      <c r="E95" s="94"/>
    </row>
    <row r="96" spans="1:5" ht="12.75">
      <c r="A96" s="43" t="s">
        <v>135</v>
      </c>
      <c r="B96" s="40" t="s">
        <v>67</v>
      </c>
      <c r="C96" s="41">
        <f>1+2</f>
        <v>3</v>
      </c>
      <c r="D96" s="42"/>
      <c r="E96" s="94"/>
    </row>
    <row r="97" spans="1:5" ht="12.75">
      <c r="A97" s="88" t="s">
        <v>268</v>
      </c>
      <c r="B97" s="40" t="s">
        <v>67</v>
      </c>
      <c r="C97" s="41">
        <v>2</v>
      </c>
      <c r="D97" s="42"/>
      <c r="E97" s="94"/>
    </row>
    <row r="98" spans="1:5" ht="12.75">
      <c r="A98" s="35" t="s">
        <v>139</v>
      </c>
      <c r="B98" s="36"/>
      <c r="C98" s="36"/>
      <c r="D98" s="45"/>
      <c r="E98" s="94"/>
    </row>
    <row r="99" spans="1:5" ht="12.75">
      <c r="A99" s="39" t="s">
        <v>140</v>
      </c>
      <c r="B99" s="40" t="s">
        <v>39</v>
      </c>
      <c r="C99" s="40">
        <v>4.5</v>
      </c>
      <c r="D99" s="42"/>
      <c r="E99" s="94"/>
    </row>
    <row r="100" spans="1:5" ht="12.75">
      <c r="A100" s="49" t="s">
        <v>141</v>
      </c>
      <c r="B100" s="36"/>
      <c r="C100" s="36"/>
      <c r="D100" s="45"/>
      <c r="E100" s="94"/>
    </row>
    <row r="101" spans="1:5" ht="12.75">
      <c r="A101" s="52" t="s">
        <v>278</v>
      </c>
      <c r="B101" s="84" t="s">
        <v>39</v>
      </c>
      <c r="C101" s="41">
        <v>11</v>
      </c>
      <c r="D101" s="42"/>
      <c r="E101" s="94"/>
    </row>
    <row r="102" spans="1:5" ht="12.75">
      <c r="A102" s="52" t="s">
        <v>256</v>
      </c>
      <c r="B102" s="40" t="s">
        <v>133</v>
      </c>
      <c r="C102" s="41">
        <v>3</v>
      </c>
      <c r="D102" s="42"/>
      <c r="E102" s="94"/>
    </row>
    <row r="103" spans="1:5" ht="12.75">
      <c r="A103" s="51" t="s">
        <v>279</v>
      </c>
      <c r="B103" s="41" t="s">
        <v>67</v>
      </c>
      <c r="C103" s="41">
        <f>1+1</f>
        <v>2</v>
      </c>
      <c r="D103" s="42"/>
      <c r="E103" s="94"/>
    </row>
    <row r="104" spans="1:5" ht="12.75">
      <c r="A104" s="51" t="s">
        <v>218</v>
      </c>
      <c r="B104" s="41" t="s">
        <v>39</v>
      </c>
      <c r="C104" s="41">
        <v>3</v>
      </c>
      <c r="D104" s="42"/>
      <c r="E104" s="94"/>
    </row>
    <row r="105" spans="1:5" ht="12.75">
      <c r="A105" s="51" t="s">
        <v>143</v>
      </c>
      <c r="B105" s="40" t="s">
        <v>67</v>
      </c>
      <c r="C105" s="41">
        <f>2</f>
        <v>2</v>
      </c>
      <c r="D105" s="42"/>
      <c r="E105" s="94"/>
    </row>
    <row r="106" spans="1:5" ht="12.75">
      <c r="A106" s="49" t="s">
        <v>145</v>
      </c>
      <c r="B106" s="36"/>
      <c r="C106" s="36"/>
      <c r="D106" s="45"/>
      <c r="E106" s="94"/>
    </row>
    <row r="107" spans="1:5" ht="12.75">
      <c r="A107" s="52" t="s">
        <v>194</v>
      </c>
      <c r="B107" s="41" t="s">
        <v>133</v>
      </c>
      <c r="C107" s="40">
        <f>5</f>
        <v>5</v>
      </c>
      <c r="D107" s="42"/>
      <c r="E107" s="94"/>
    </row>
    <row r="108" spans="1:5" ht="12.75">
      <c r="A108" s="52" t="s">
        <v>195</v>
      </c>
      <c r="B108" s="41" t="s">
        <v>112</v>
      </c>
      <c r="C108" s="40">
        <v>7</v>
      </c>
      <c r="D108" s="42"/>
      <c r="E108" s="94"/>
    </row>
    <row r="109" spans="1:5" ht="12.75">
      <c r="A109" s="52" t="s">
        <v>243</v>
      </c>
      <c r="B109" s="41" t="s">
        <v>39</v>
      </c>
      <c r="C109" s="41">
        <v>425</v>
      </c>
      <c r="D109" s="42"/>
      <c r="E109" s="94"/>
    </row>
    <row r="110" spans="1:5" ht="12.75">
      <c r="A110" s="52" t="s">
        <v>147</v>
      </c>
      <c r="B110" s="40" t="s">
        <v>67</v>
      </c>
      <c r="C110" s="40">
        <v>2</v>
      </c>
      <c r="D110" s="42"/>
      <c r="E110" s="94"/>
    </row>
    <row r="111" spans="1:5" ht="12.75">
      <c r="A111" s="52" t="s">
        <v>149</v>
      </c>
      <c r="B111" s="40" t="s">
        <v>67</v>
      </c>
      <c r="C111" s="40">
        <v>2</v>
      </c>
      <c r="D111" s="42"/>
      <c r="E111" s="94"/>
    </row>
    <row r="112" spans="1:5" s="1" customFormat="1" ht="12.75">
      <c r="A112" s="80" t="s">
        <v>151</v>
      </c>
      <c r="B112" s="41" t="s">
        <v>39</v>
      </c>
      <c r="C112" s="41">
        <v>240</v>
      </c>
      <c r="D112" s="68" t="s">
        <v>130</v>
      </c>
      <c r="E112" s="95"/>
    </row>
    <row r="113" spans="1:5" ht="12.75">
      <c r="A113" s="52" t="s">
        <v>197</v>
      </c>
      <c r="B113" s="41" t="s">
        <v>67</v>
      </c>
      <c r="C113" s="40">
        <f>2+4</f>
        <v>6</v>
      </c>
      <c r="D113" s="42"/>
      <c r="E113" s="94"/>
    </row>
    <row r="114" spans="1:5" ht="12.75">
      <c r="A114" s="52" t="s">
        <v>152</v>
      </c>
      <c r="B114" s="41" t="s">
        <v>133</v>
      </c>
      <c r="C114" s="40">
        <v>2.8</v>
      </c>
      <c r="D114" s="42"/>
      <c r="E114" s="94"/>
    </row>
    <row r="115" spans="1:5" ht="12.75">
      <c r="A115" s="53" t="s">
        <v>153</v>
      </c>
      <c r="B115" s="41" t="s">
        <v>67</v>
      </c>
      <c r="C115" s="40">
        <f>22+3</f>
        <v>25</v>
      </c>
      <c r="D115" s="42"/>
      <c r="E115" s="94"/>
    </row>
    <row r="116" spans="1:5" ht="12.75">
      <c r="A116" s="52" t="s">
        <v>198</v>
      </c>
      <c r="B116" s="41" t="s">
        <v>67</v>
      </c>
      <c r="C116" s="40">
        <f>4+3</f>
        <v>7</v>
      </c>
      <c r="D116" s="42"/>
      <c r="E116" s="94"/>
    </row>
    <row r="117" spans="1:5" ht="12.75">
      <c r="A117" s="52" t="s">
        <v>154</v>
      </c>
      <c r="B117" s="41" t="s">
        <v>67</v>
      </c>
      <c r="C117" s="40">
        <v>2</v>
      </c>
      <c r="D117" s="42"/>
      <c r="E117" s="94"/>
    </row>
    <row r="118" spans="1:5" ht="12.75">
      <c r="A118" s="52" t="s">
        <v>199</v>
      </c>
      <c r="B118" s="41" t="s">
        <v>67</v>
      </c>
      <c r="C118" s="40">
        <f>2+1</f>
        <v>3</v>
      </c>
      <c r="D118" s="42"/>
      <c r="E118" s="94"/>
    </row>
    <row r="119" spans="1:5" ht="12.75">
      <c r="A119" s="49" t="s">
        <v>157</v>
      </c>
      <c r="B119" s="36"/>
      <c r="C119" s="36"/>
      <c r="D119" s="45"/>
      <c r="E119" s="94"/>
    </row>
    <row r="120" spans="1:5" ht="12.75">
      <c r="A120" s="51" t="s">
        <v>158</v>
      </c>
      <c r="B120" s="40" t="s">
        <v>67</v>
      </c>
      <c r="C120" s="40">
        <f>3</f>
        <v>3</v>
      </c>
      <c r="D120" s="42"/>
      <c r="E120" s="94"/>
    </row>
    <row r="121" spans="1:5" ht="12.75">
      <c r="A121" s="51" t="s">
        <v>160</v>
      </c>
      <c r="B121" s="40" t="s">
        <v>67</v>
      </c>
      <c r="C121" s="40">
        <v>2</v>
      </c>
      <c r="D121" s="42"/>
      <c r="E121" s="94"/>
    </row>
    <row r="122" spans="1:5" s="1" customFormat="1" ht="12.75">
      <c r="A122" s="80" t="s">
        <v>280</v>
      </c>
      <c r="B122" s="41" t="s">
        <v>39</v>
      </c>
      <c r="C122" s="41">
        <v>80</v>
      </c>
      <c r="D122" s="44"/>
      <c r="E122" s="95"/>
    </row>
    <row r="123" spans="1:5" ht="25.5">
      <c r="A123" s="35" t="s">
        <v>161</v>
      </c>
      <c r="B123" s="36"/>
      <c r="C123" s="60"/>
      <c r="D123" s="45"/>
      <c r="E123" s="94"/>
    </row>
    <row r="124" spans="1:5" ht="12.75">
      <c r="A124" s="54" t="s">
        <v>162</v>
      </c>
      <c r="B124" s="55" t="s">
        <v>39</v>
      </c>
      <c r="C124" s="56">
        <v>585.2</v>
      </c>
      <c r="D124" s="68" t="s">
        <v>44</v>
      </c>
      <c r="E124" s="94"/>
    </row>
    <row r="125" spans="1:5" ht="25.5">
      <c r="A125" s="54" t="s">
        <v>163</v>
      </c>
      <c r="B125" s="58" t="s">
        <v>39</v>
      </c>
      <c r="C125" s="56">
        <v>585.2</v>
      </c>
      <c r="D125" s="89" t="s">
        <v>164</v>
      </c>
      <c r="E125" s="94"/>
    </row>
    <row r="126" spans="1:5" ht="15">
      <c r="A126" s="35" t="s">
        <v>165</v>
      </c>
      <c r="B126" s="36"/>
      <c r="C126" s="60"/>
      <c r="D126" s="45"/>
      <c r="E126" s="94"/>
    </row>
    <row r="127" spans="1:5" ht="12.75">
      <c r="A127" s="54" t="s">
        <v>162</v>
      </c>
      <c r="B127" s="55" t="s">
        <v>39</v>
      </c>
      <c r="C127" s="56">
        <f>585.2+26.88+26.88</f>
        <v>638.96</v>
      </c>
      <c r="D127" s="68" t="s">
        <v>44</v>
      </c>
      <c r="E127" s="94"/>
    </row>
    <row r="128" spans="1:5" ht="12.75">
      <c r="A128" s="54" t="s">
        <v>163</v>
      </c>
      <c r="B128" s="55" t="s">
        <v>39</v>
      </c>
      <c r="C128" s="56">
        <f>585.2+26.88+26.88</f>
        <v>638.96</v>
      </c>
      <c r="D128" s="89" t="s">
        <v>164</v>
      </c>
      <c r="E128" s="94"/>
    </row>
    <row r="129" spans="1:5" ht="12.75">
      <c r="A129" s="35" t="s">
        <v>166</v>
      </c>
      <c r="B129" s="36"/>
      <c r="C129" s="60"/>
      <c r="D129" s="45"/>
      <c r="E129" s="94"/>
    </row>
    <row r="130" spans="1:5" ht="12.75">
      <c r="A130" s="54" t="s">
        <v>162</v>
      </c>
      <c r="B130" s="55" t="s">
        <v>39</v>
      </c>
      <c r="C130" s="56">
        <f>585.2+333.7+12.8</f>
        <v>931.7</v>
      </c>
      <c r="D130" s="47" t="s">
        <v>175</v>
      </c>
      <c r="E130" s="94"/>
    </row>
    <row r="131" spans="1:5" ht="12.75">
      <c r="A131" s="54" t="s">
        <v>163</v>
      </c>
      <c r="B131" s="58" t="s">
        <v>39</v>
      </c>
      <c r="C131" s="56">
        <f>585.2+333.7+12.8</f>
        <v>931.7</v>
      </c>
      <c r="D131" s="89" t="s">
        <v>164</v>
      </c>
      <c r="E131" s="94"/>
    </row>
    <row r="132" spans="1:5" ht="12.75">
      <c r="A132" s="35" t="s">
        <v>168</v>
      </c>
      <c r="B132" s="36"/>
      <c r="C132" s="60"/>
      <c r="D132" s="45"/>
      <c r="E132" s="94"/>
    </row>
    <row r="133" spans="1:5" ht="12.75">
      <c r="A133" s="54" t="s">
        <v>169</v>
      </c>
      <c r="B133" s="55" t="s">
        <v>170</v>
      </c>
      <c r="C133" s="66" t="s">
        <v>281</v>
      </c>
      <c r="D133" s="47" t="s">
        <v>44</v>
      </c>
      <c r="E133" s="67"/>
    </row>
    <row r="134" spans="1:5" ht="12.75">
      <c r="A134" s="54" t="s">
        <v>172</v>
      </c>
      <c r="B134" s="55" t="s">
        <v>170</v>
      </c>
      <c r="C134" s="66" t="s">
        <v>281</v>
      </c>
      <c r="D134" s="47" t="s">
        <v>282</v>
      </c>
      <c r="E134" s="94"/>
    </row>
    <row r="135" spans="1:4" ht="12.75">
      <c r="A135" s="69" t="s">
        <v>174</v>
      </c>
      <c r="B135" s="55" t="s">
        <v>170</v>
      </c>
      <c r="C135" s="55">
        <v>2</v>
      </c>
      <c r="D135" s="68" t="s">
        <v>175</v>
      </c>
    </row>
    <row r="136" ht="12.75">
      <c r="A136" s="90"/>
    </row>
  </sheetData>
  <sheetProtection selectLockedCells="1" selectUnlockedCells="1"/>
  <mergeCells count="33">
    <mergeCell ref="A1:C1"/>
    <mergeCell ref="A2:C2"/>
    <mergeCell ref="A3:C3"/>
    <mergeCell ref="A4:C4"/>
    <mergeCell ref="A5:C5"/>
    <mergeCell ref="A26:C26"/>
    <mergeCell ref="A37:A38"/>
    <mergeCell ref="A51:C51"/>
    <mergeCell ref="A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B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9:B79"/>
  </mergeCells>
  <printOptions/>
  <pageMargins left="0.7479166666666667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2:E135"/>
  <sheetViews>
    <sheetView workbookViewId="0" topLeftCell="A106">
      <selection activeCell="A137" sqref="A137"/>
    </sheetView>
  </sheetViews>
  <sheetFormatPr defaultColWidth="9.00390625" defaultRowHeight="12.75"/>
  <cols>
    <col min="1" max="1" width="48.625" style="1" customWidth="1"/>
    <col min="2" max="2" width="10.125" style="1" customWidth="1"/>
    <col min="3" max="3" width="13.375" style="1" customWidth="1"/>
    <col min="4" max="4" width="20.25390625" style="0" customWidth="1"/>
  </cols>
  <sheetData>
    <row r="2" spans="1:3" ht="12.75">
      <c r="A2" s="2" t="s">
        <v>0</v>
      </c>
      <c r="B2" s="2"/>
      <c r="C2" s="2"/>
    </row>
    <row r="3" spans="1:3" ht="12.75">
      <c r="A3" s="2" t="s">
        <v>1</v>
      </c>
      <c r="B3" s="2"/>
      <c r="C3" s="2"/>
    </row>
    <row r="4" spans="1:3" ht="12.75">
      <c r="A4" s="2" t="s">
        <v>2</v>
      </c>
      <c r="B4" s="2"/>
      <c r="C4" s="2"/>
    </row>
    <row r="5" spans="1:3" ht="22.5" customHeight="1">
      <c r="A5" s="3" t="s">
        <v>283</v>
      </c>
      <c r="B5" s="3"/>
      <c r="C5" s="3"/>
    </row>
    <row r="6" spans="1:3" ht="18.75" customHeight="1">
      <c r="A6" s="2" t="s">
        <v>4</v>
      </c>
      <c r="B6" s="2"/>
      <c r="C6" s="2"/>
    </row>
    <row r="8" spans="1:3" ht="12.75">
      <c r="A8" s="1" t="s">
        <v>5</v>
      </c>
      <c r="C8" s="4" t="s">
        <v>284</v>
      </c>
    </row>
    <row r="9" spans="1:3" ht="12.75">
      <c r="A9" s="1" t="s">
        <v>7</v>
      </c>
      <c r="C9" s="4" t="s">
        <v>285</v>
      </c>
    </row>
    <row r="10" spans="1:3" ht="12.75">
      <c r="A10" s="1" t="s">
        <v>9</v>
      </c>
      <c r="C10" s="70" t="s">
        <v>286</v>
      </c>
    </row>
    <row r="11" ht="12.75">
      <c r="C11" s="7"/>
    </row>
    <row r="12" spans="1:3" ht="12.75">
      <c r="A12" s="1" t="s">
        <v>11</v>
      </c>
      <c r="C12" s="7" t="s">
        <v>287</v>
      </c>
    </row>
    <row r="13" spans="1:3" ht="12.75">
      <c r="A13" s="1" t="s">
        <v>13</v>
      </c>
      <c r="C13" s="7"/>
    </row>
    <row r="14" spans="1:3" ht="12.75">
      <c r="A14" s="1" t="s">
        <v>14</v>
      </c>
      <c r="C14" s="7"/>
    </row>
    <row r="15" spans="1:3" ht="12.75">
      <c r="A15" s="1" t="s">
        <v>15</v>
      </c>
      <c r="B15" s="1" t="s">
        <v>16</v>
      </c>
      <c r="C15" s="7"/>
    </row>
    <row r="16" spans="1:3" ht="12.75">
      <c r="A16" s="1" t="s">
        <v>17</v>
      </c>
      <c r="B16" s="1" t="s">
        <v>231</v>
      </c>
      <c r="C16" s="7"/>
    </row>
    <row r="17" spans="1:3" ht="12.75">
      <c r="A17" s="1" t="s">
        <v>19</v>
      </c>
      <c r="B17" s="1" t="s">
        <v>20</v>
      </c>
      <c r="C17" s="7"/>
    </row>
    <row r="18" spans="1:3" ht="12.75">
      <c r="A18" s="1" t="s">
        <v>21</v>
      </c>
      <c r="B18" s="1" t="s">
        <v>22</v>
      </c>
      <c r="C18" s="7"/>
    </row>
    <row r="19" spans="1:3" ht="12.75">
      <c r="A19" s="1" t="s">
        <v>23</v>
      </c>
      <c r="B19" s="1" t="s">
        <v>24</v>
      </c>
      <c r="C19" s="7"/>
    </row>
    <row r="20" spans="1:3" ht="12.75">
      <c r="A20" s="1" t="s">
        <v>25</v>
      </c>
      <c r="B20" s="1" t="s">
        <v>26</v>
      </c>
      <c r="C20" s="7"/>
    </row>
    <row r="21" spans="1:3" ht="12.75">
      <c r="A21" s="1" t="s">
        <v>27</v>
      </c>
      <c r="B21" s="1" t="s">
        <v>28</v>
      </c>
      <c r="C21" s="7"/>
    </row>
    <row r="22" spans="1:3" ht="12.75">
      <c r="A22" s="1" t="s">
        <v>29</v>
      </c>
      <c r="C22" s="7"/>
    </row>
    <row r="23" spans="1:3" ht="12.75">
      <c r="A23" s="1" t="s">
        <v>30</v>
      </c>
      <c r="B23" s="1" t="s">
        <v>31</v>
      </c>
      <c r="C23" s="7"/>
    </row>
    <row r="24" ht="12.75">
      <c r="C24" s="7"/>
    </row>
    <row r="25" spans="1:3" ht="12.75">
      <c r="A25" s="1" t="s">
        <v>32</v>
      </c>
      <c r="C25" s="71">
        <v>0.9178</v>
      </c>
    </row>
    <row r="26" spans="1:3" ht="12.75">
      <c r="A26" s="72"/>
      <c r="C26" s="7"/>
    </row>
    <row r="27" spans="1:3" ht="12.75" customHeight="1">
      <c r="A27" s="10" t="s">
        <v>33</v>
      </c>
      <c r="B27" s="10"/>
      <c r="C27" s="10"/>
    </row>
    <row r="29" spans="1:4" ht="12.75">
      <c r="A29" s="11" t="s">
        <v>34</v>
      </c>
      <c r="B29" s="11" t="s">
        <v>35</v>
      </c>
      <c r="C29" s="11" t="s">
        <v>36</v>
      </c>
      <c r="D29" s="12" t="s">
        <v>37</v>
      </c>
    </row>
    <row r="30" spans="1:4" ht="25.5">
      <c r="A30" s="13" t="s">
        <v>38</v>
      </c>
      <c r="B30" s="14" t="s">
        <v>39</v>
      </c>
      <c r="C30" s="15">
        <v>351</v>
      </c>
      <c r="D30" s="16" t="s">
        <v>40</v>
      </c>
    </row>
    <row r="31" spans="1:4" ht="12.75">
      <c r="A31" s="13" t="s">
        <v>41</v>
      </c>
      <c r="B31" s="14" t="s">
        <v>39</v>
      </c>
      <c r="C31" s="15">
        <v>351</v>
      </c>
      <c r="D31" s="16" t="s">
        <v>42</v>
      </c>
    </row>
    <row r="32" spans="1:4" ht="51">
      <c r="A32" s="13" t="s">
        <v>43</v>
      </c>
      <c r="B32" s="14" t="s">
        <v>39</v>
      </c>
      <c r="C32" s="15">
        <v>2027</v>
      </c>
      <c r="D32" s="16" t="s">
        <v>44</v>
      </c>
    </row>
    <row r="33" spans="1:4" ht="12.75">
      <c r="A33" s="13" t="s">
        <v>45</v>
      </c>
      <c r="B33" s="14" t="s">
        <v>39</v>
      </c>
      <c r="C33" s="15">
        <v>58</v>
      </c>
      <c r="D33" s="16" t="s">
        <v>46</v>
      </c>
    </row>
    <row r="34" spans="1:4" ht="25.5">
      <c r="A34" s="13" t="s">
        <v>47</v>
      </c>
      <c r="B34" s="17" t="s">
        <v>39</v>
      </c>
      <c r="C34" s="15">
        <v>175</v>
      </c>
      <c r="D34" s="16" t="s">
        <v>48</v>
      </c>
    </row>
    <row r="35" spans="1:4" ht="25.5">
      <c r="A35" s="13" t="s">
        <v>49</v>
      </c>
      <c r="B35" s="17" t="s">
        <v>50</v>
      </c>
      <c r="C35" s="15">
        <v>351</v>
      </c>
      <c r="D35" s="16" t="s">
        <v>51</v>
      </c>
    </row>
    <row r="36" spans="1:4" ht="25.5">
      <c r="A36" s="13" t="s">
        <v>52</v>
      </c>
      <c r="B36" s="17" t="s">
        <v>39</v>
      </c>
      <c r="C36" s="15">
        <v>526</v>
      </c>
      <c r="D36" s="16" t="s">
        <v>53</v>
      </c>
    </row>
    <row r="37" spans="1:4" ht="12.75">
      <c r="A37" s="13" t="s">
        <v>54</v>
      </c>
      <c r="B37" s="17" t="s">
        <v>39</v>
      </c>
      <c r="C37" s="15">
        <v>2</v>
      </c>
      <c r="D37" s="16" t="s">
        <v>55</v>
      </c>
    </row>
    <row r="38" spans="1:4" ht="12.75" customHeight="1">
      <c r="A38" s="13" t="s">
        <v>56</v>
      </c>
      <c r="B38" s="17" t="s">
        <v>39</v>
      </c>
      <c r="C38" s="15">
        <v>2</v>
      </c>
      <c r="D38" s="16" t="s">
        <v>57</v>
      </c>
    </row>
    <row r="39" spans="1:4" ht="25.5">
      <c r="A39" s="13"/>
      <c r="B39" s="17" t="s">
        <v>39</v>
      </c>
      <c r="C39" s="15">
        <v>2</v>
      </c>
      <c r="D39" s="16" t="s">
        <v>58</v>
      </c>
    </row>
    <row r="40" spans="1:4" ht="25.5">
      <c r="A40" s="13" t="s">
        <v>59</v>
      </c>
      <c r="B40" s="17" t="s">
        <v>39</v>
      </c>
      <c r="C40" s="15">
        <v>18</v>
      </c>
      <c r="D40" s="16" t="s">
        <v>60</v>
      </c>
    </row>
    <row r="41" spans="1:4" ht="12.75">
      <c r="A41" s="13" t="s">
        <v>61</v>
      </c>
      <c r="B41" s="17" t="s">
        <v>39</v>
      </c>
      <c r="C41" s="15">
        <v>620.8</v>
      </c>
      <c r="D41" s="16" t="s">
        <v>46</v>
      </c>
    </row>
    <row r="42" spans="1:4" ht="25.5">
      <c r="A42" s="13" t="s">
        <v>62</v>
      </c>
      <c r="B42" s="17" t="s">
        <v>39</v>
      </c>
      <c r="C42" s="15">
        <v>351</v>
      </c>
      <c r="D42" s="16" t="s">
        <v>53</v>
      </c>
    </row>
    <row r="43" spans="1:4" ht="12.75">
      <c r="A43" s="13" t="s">
        <v>63</v>
      </c>
      <c r="B43" s="17" t="s">
        <v>39</v>
      </c>
      <c r="C43" s="15">
        <v>2</v>
      </c>
      <c r="D43" s="16" t="s">
        <v>44</v>
      </c>
    </row>
    <row r="44" spans="1:4" ht="12.75">
      <c r="A44" s="13" t="s">
        <v>64</v>
      </c>
      <c r="B44" s="17" t="s">
        <v>39</v>
      </c>
      <c r="C44" s="15">
        <v>80.4</v>
      </c>
      <c r="D44" s="16" t="s">
        <v>44</v>
      </c>
    </row>
    <row r="45" spans="1:4" ht="25.5">
      <c r="A45" s="13" t="s">
        <v>65</v>
      </c>
      <c r="B45" s="17" t="s">
        <v>39</v>
      </c>
      <c r="C45" s="15">
        <v>38</v>
      </c>
      <c r="D45" s="16" t="s">
        <v>53</v>
      </c>
    </row>
    <row r="46" spans="1:4" ht="12.75">
      <c r="A46" s="13" t="s">
        <v>66</v>
      </c>
      <c r="B46" s="17" t="s">
        <v>67</v>
      </c>
      <c r="C46" s="15">
        <v>2</v>
      </c>
      <c r="D46" s="16" t="s">
        <v>60</v>
      </c>
    </row>
    <row r="47" spans="1:4" ht="25.5">
      <c r="A47" s="13" t="s">
        <v>68</v>
      </c>
      <c r="B47" s="17" t="s">
        <v>67</v>
      </c>
      <c r="C47" s="15">
        <v>2</v>
      </c>
      <c r="D47" s="16" t="s">
        <v>69</v>
      </c>
    </row>
    <row r="48" spans="1:4" ht="12.75">
      <c r="A48" s="13" t="s">
        <v>70</v>
      </c>
      <c r="B48" s="17" t="s">
        <v>39</v>
      </c>
      <c r="C48" s="15">
        <v>10</v>
      </c>
      <c r="D48" s="16" t="s">
        <v>71</v>
      </c>
    </row>
    <row r="49" spans="1:4" ht="25.5">
      <c r="A49" s="13" t="s">
        <v>72</v>
      </c>
      <c r="B49" s="17" t="s">
        <v>39</v>
      </c>
      <c r="C49" s="15">
        <f>1*1.88*8*2</f>
        <v>30.08</v>
      </c>
      <c r="D49" s="16" t="s">
        <v>53</v>
      </c>
    </row>
    <row r="50" spans="1:4" ht="25.5">
      <c r="A50" s="13" t="s">
        <v>73</v>
      </c>
      <c r="B50" s="17" t="s">
        <v>67</v>
      </c>
      <c r="C50" s="15">
        <v>2</v>
      </c>
      <c r="D50" s="16" t="s">
        <v>44</v>
      </c>
    </row>
    <row r="51" spans="1:4" ht="12.75">
      <c r="A51" s="13" t="s">
        <v>74</v>
      </c>
      <c r="B51" s="17" t="s">
        <v>39</v>
      </c>
      <c r="C51" s="15">
        <v>585.2</v>
      </c>
      <c r="D51" s="16" t="s">
        <v>60</v>
      </c>
    </row>
    <row r="52" spans="1:4" ht="12.75" customHeight="1">
      <c r="A52" s="18" t="s">
        <v>75</v>
      </c>
      <c r="B52" s="18"/>
      <c r="C52" s="18"/>
      <c r="D52" s="19"/>
    </row>
    <row r="53" spans="1:4" ht="12.75" customHeight="1">
      <c r="A53" s="20" t="s">
        <v>76</v>
      </c>
      <c r="B53" s="20"/>
      <c r="C53" s="20"/>
      <c r="D53" s="21"/>
    </row>
    <row r="54" spans="1:4" ht="12.75" customHeight="1">
      <c r="A54" s="22" t="s">
        <v>77</v>
      </c>
      <c r="B54" s="22"/>
      <c r="C54" s="22"/>
      <c r="D54" s="23"/>
    </row>
    <row r="55" spans="1:4" ht="25.5" customHeight="1">
      <c r="A55" s="13" t="s">
        <v>78</v>
      </c>
      <c r="B55" s="24" t="s">
        <v>79</v>
      </c>
      <c r="C55" s="24"/>
      <c r="D55" s="13" t="s">
        <v>80</v>
      </c>
    </row>
    <row r="56" spans="1:4" ht="25.5" customHeight="1">
      <c r="A56" s="13" t="s">
        <v>81</v>
      </c>
      <c r="B56" s="24" t="s">
        <v>79</v>
      </c>
      <c r="C56" s="24"/>
      <c r="D56" s="13" t="s">
        <v>80</v>
      </c>
    </row>
    <row r="57" spans="1:4" ht="25.5" customHeight="1">
      <c r="A57" s="13" t="s">
        <v>82</v>
      </c>
      <c r="B57" s="24" t="s">
        <v>79</v>
      </c>
      <c r="C57" s="24"/>
      <c r="D57" s="13" t="s">
        <v>83</v>
      </c>
    </row>
    <row r="58" spans="1:4" ht="25.5" customHeight="1">
      <c r="A58" s="13" t="s">
        <v>84</v>
      </c>
      <c r="B58" s="24" t="s">
        <v>79</v>
      </c>
      <c r="C58" s="24"/>
      <c r="D58" s="13" t="s">
        <v>83</v>
      </c>
    </row>
    <row r="59" spans="1:4" ht="24.75" customHeight="1">
      <c r="A59" s="13" t="s">
        <v>85</v>
      </c>
      <c r="B59" s="24" t="s">
        <v>79</v>
      </c>
      <c r="C59" s="24"/>
      <c r="D59" s="13" t="s">
        <v>86</v>
      </c>
    </row>
    <row r="60" spans="1:4" ht="36.75" customHeight="1">
      <c r="A60" s="13" t="s">
        <v>87</v>
      </c>
      <c r="B60" s="24" t="s">
        <v>79</v>
      </c>
      <c r="C60" s="24"/>
      <c r="D60" s="13" t="s">
        <v>88</v>
      </c>
    </row>
    <row r="61" spans="1:4" ht="25.5" customHeight="1">
      <c r="A61" s="13" t="s">
        <v>89</v>
      </c>
      <c r="B61" s="24" t="s">
        <v>79</v>
      </c>
      <c r="C61" s="24"/>
      <c r="D61" s="13" t="s">
        <v>40</v>
      </c>
    </row>
    <row r="62" spans="1:4" ht="25.5" customHeight="1">
      <c r="A62" s="13" t="s">
        <v>90</v>
      </c>
      <c r="B62" s="24" t="s">
        <v>79</v>
      </c>
      <c r="C62" s="24"/>
      <c r="D62" s="13" t="s">
        <v>88</v>
      </c>
    </row>
    <row r="63" spans="1:4" ht="25.5" customHeight="1">
      <c r="A63" s="13" t="s">
        <v>91</v>
      </c>
      <c r="B63" s="24" t="s">
        <v>79</v>
      </c>
      <c r="C63" s="24"/>
      <c r="D63" s="13" t="s">
        <v>92</v>
      </c>
    </row>
    <row r="64" spans="1:4" ht="26.25" customHeight="1">
      <c r="A64" s="25" t="s">
        <v>93</v>
      </c>
      <c r="B64" s="26" t="s">
        <v>79</v>
      </c>
      <c r="C64" s="26"/>
      <c r="D64" s="27" t="s">
        <v>94</v>
      </c>
    </row>
    <row r="65" spans="1:4" ht="12.75" customHeight="1">
      <c r="A65" s="28" t="s">
        <v>95</v>
      </c>
      <c r="B65" s="28"/>
      <c r="C65" s="29"/>
      <c r="D65" s="30"/>
    </row>
    <row r="66" spans="1:4" ht="41.25" customHeight="1">
      <c r="A66" s="13" t="s">
        <v>96</v>
      </c>
      <c r="B66" s="24" t="s">
        <v>79</v>
      </c>
      <c r="C66" s="24"/>
      <c r="D66" s="13" t="s">
        <v>88</v>
      </c>
    </row>
    <row r="67" spans="1:4" ht="25.5" customHeight="1">
      <c r="A67" s="13" t="s">
        <v>97</v>
      </c>
      <c r="B67" s="24" t="s">
        <v>79</v>
      </c>
      <c r="C67" s="24"/>
      <c r="D67" s="13" t="s">
        <v>98</v>
      </c>
    </row>
    <row r="68" spans="1:4" ht="25.5" customHeight="1">
      <c r="A68" s="13" t="s">
        <v>99</v>
      </c>
      <c r="B68" s="24" t="s">
        <v>79</v>
      </c>
      <c r="C68" s="24"/>
      <c r="D68" s="13" t="s">
        <v>100</v>
      </c>
    </row>
    <row r="69" spans="1:4" ht="36.75" customHeight="1">
      <c r="A69" s="13" t="s">
        <v>101</v>
      </c>
      <c r="B69" s="24" t="s">
        <v>79</v>
      </c>
      <c r="C69" s="24"/>
      <c r="D69" s="13" t="s">
        <v>88</v>
      </c>
    </row>
    <row r="70" spans="1:4" ht="26.25" customHeight="1">
      <c r="A70" s="13" t="s">
        <v>102</v>
      </c>
      <c r="B70" s="24" t="s">
        <v>79</v>
      </c>
      <c r="C70" s="24"/>
      <c r="D70" s="13" t="s">
        <v>60</v>
      </c>
    </row>
    <row r="71" spans="1:4" ht="42.75" customHeight="1">
      <c r="A71" s="13" t="s">
        <v>103</v>
      </c>
      <c r="B71" s="24" t="s">
        <v>79</v>
      </c>
      <c r="C71" s="24"/>
      <c r="D71" s="13" t="s">
        <v>104</v>
      </c>
    </row>
    <row r="72" spans="1:4" ht="25.5" customHeight="1">
      <c r="A72" s="13" t="s">
        <v>105</v>
      </c>
      <c r="B72" s="24" t="s">
        <v>79</v>
      </c>
      <c r="C72" s="24"/>
      <c r="D72" s="13" t="s">
        <v>106</v>
      </c>
    </row>
    <row r="73" spans="1:4" ht="25.5" customHeight="1">
      <c r="A73" s="13" t="s">
        <v>107</v>
      </c>
      <c r="B73" s="24" t="s">
        <v>79</v>
      </c>
      <c r="C73" s="24"/>
      <c r="D73" s="13" t="s">
        <v>108</v>
      </c>
    </row>
    <row r="74" spans="1:4" ht="24.75" customHeight="1">
      <c r="A74" s="13" t="s">
        <v>89</v>
      </c>
      <c r="B74" s="24" t="s">
        <v>79</v>
      </c>
      <c r="C74" s="24"/>
      <c r="D74" s="13" t="s">
        <v>40</v>
      </c>
    </row>
    <row r="75" spans="1:4" ht="25.5" customHeight="1">
      <c r="A75" s="13" t="s">
        <v>109</v>
      </c>
      <c r="B75" s="24" t="s">
        <v>79</v>
      </c>
      <c r="C75" s="24"/>
      <c r="D75" s="13" t="s">
        <v>108</v>
      </c>
    </row>
    <row r="76" spans="1:4" ht="12.75" customHeight="1">
      <c r="A76" s="28" t="s">
        <v>110</v>
      </c>
      <c r="B76" s="28"/>
      <c r="C76" s="31"/>
      <c r="D76" s="30"/>
    </row>
    <row r="77" spans="1:4" ht="27.75" customHeight="1">
      <c r="A77" s="13" t="s">
        <v>111</v>
      </c>
      <c r="B77" s="14" t="s">
        <v>112</v>
      </c>
      <c r="C77" s="15">
        <f>206*1.15*12</f>
        <v>2842.7999999999997</v>
      </c>
      <c r="D77" s="74" t="s">
        <v>69</v>
      </c>
    </row>
    <row r="78" spans="1:4" ht="12.75">
      <c r="A78" s="13" t="s">
        <v>113</v>
      </c>
      <c r="B78" s="33" t="s">
        <v>112</v>
      </c>
      <c r="C78" s="15">
        <f>0.75*2*2*51</f>
        <v>153</v>
      </c>
      <c r="D78" s="74" t="s">
        <v>114</v>
      </c>
    </row>
    <row r="79" spans="1:4" ht="25.5">
      <c r="A79" s="13" t="s">
        <v>115</v>
      </c>
      <c r="B79" s="14" t="s">
        <v>67</v>
      </c>
      <c r="C79" s="15">
        <v>2</v>
      </c>
      <c r="D79" s="74" t="s">
        <v>116</v>
      </c>
    </row>
    <row r="80" spans="1:4" ht="12.75" customHeight="1">
      <c r="A80" s="28" t="s">
        <v>117</v>
      </c>
      <c r="B80" s="28"/>
      <c r="C80" s="29"/>
      <c r="D80" s="30"/>
    </row>
    <row r="81" spans="1:4" ht="12.75">
      <c r="A81" s="35" t="s">
        <v>118</v>
      </c>
      <c r="B81" s="36"/>
      <c r="C81" s="60"/>
      <c r="D81" s="38"/>
    </row>
    <row r="82" spans="1:4" s="97" customFormat="1" ht="12.75">
      <c r="A82" s="43" t="s">
        <v>288</v>
      </c>
      <c r="B82" s="41" t="s">
        <v>39</v>
      </c>
      <c r="C82" s="64">
        <v>6</v>
      </c>
      <c r="D82" s="96"/>
    </row>
    <row r="83" spans="1:4" s="97" customFormat="1" ht="12.75">
      <c r="A83" s="43" t="s">
        <v>289</v>
      </c>
      <c r="B83" s="41" t="s">
        <v>67</v>
      </c>
      <c r="C83" s="64">
        <v>2</v>
      </c>
      <c r="D83" s="96"/>
    </row>
    <row r="84" spans="1:4" ht="12.75">
      <c r="A84" s="39" t="s">
        <v>120</v>
      </c>
      <c r="B84" s="40" t="s">
        <v>67</v>
      </c>
      <c r="C84" s="41">
        <v>2</v>
      </c>
      <c r="D84" s="47" t="s">
        <v>290</v>
      </c>
    </row>
    <row r="85" spans="1:4" ht="12.75">
      <c r="A85" s="35" t="s">
        <v>126</v>
      </c>
      <c r="B85" s="36"/>
      <c r="C85" s="36"/>
      <c r="D85" s="45"/>
    </row>
    <row r="86" spans="1:4" ht="12.75">
      <c r="A86" s="43" t="s">
        <v>127</v>
      </c>
      <c r="B86" s="46" t="s">
        <v>67</v>
      </c>
      <c r="C86" s="41">
        <f>1+1</f>
        <v>2</v>
      </c>
      <c r="D86" s="42"/>
    </row>
    <row r="87" spans="1:4" ht="12.75">
      <c r="A87" s="43" t="s">
        <v>128</v>
      </c>
      <c r="B87" s="46" t="s">
        <v>67</v>
      </c>
      <c r="C87" s="41">
        <v>2</v>
      </c>
      <c r="D87" s="42"/>
    </row>
    <row r="88" spans="1:4" ht="12.75">
      <c r="A88" s="43" t="s">
        <v>129</v>
      </c>
      <c r="B88" s="40" t="s">
        <v>67</v>
      </c>
      <c r="C88" s="41">
        <v>2</v>
      </c>
      <c r="D88" s="47" t="s">
        <v>290</v>
      </c>
    </row>
    <row r="89" spans="1:4" s="1" customFormat="1" ht="12.75">
      <c r="A89" s="43" t="s">
        <v>131</v>
      </c>
      <c r="B89" s="41" t="s">
        <v>67</v>
      </c>
      <c r="C89" s="41">
        <v>2</v>
      </c>
      <c r="D89" s="68" t="s">
        <v>186</v>
      </c>
    </row>
    <row r="90" spans="1:4" ht="12.75">
      <c r="A90" s="43" t="s">
        <v>132</v>
      </c>
      <c r="B90" s="40" t="s">
        <v>133</v>
      </c>
      <c r="C90" s="41">
        <f>3</f>
        <v>3</v>
      </c>
      <c r="D90" s="42"/>
    </row>
    <row r="91" spans="1:4" ht="12.75">
      <c r="A91" s="43" t="s">
        <v>134</v>
      </c>
      <c r="B91" s="40" t="s">
        <v>39</v>
      </c>
      <c r="C91" s="41">
        <f>1.5+2.4+1.1+1.6</f>
        <v>6.6</v>
      </c>
      <c r="D91" s="42"/>
    </row>
    <row r="92" spans="1:4" ht="12.75">
      <c r="A92" s="43" t="s">
        <v>135</v>
      </c>
      <c r="B92" s="40" t="s">
        <v>67</v>
      </c>
      <c r="C92" s="41">
        <f>2</f>
        <v>2</v>
      </c>
      <c r="D92" s="42"/>
    </row>
    <row r="93" spans="1:4" ht="12.75">
      <c r="A93" s="43" t="s">
        <v>136</v>
      </c>
      <c r="B93" s="40" t="s">
        <v>67</v>
      </c>
      <c r="C93" s="41">
        <v>1</v>
      </c>
      <c r="D93" s="42"/>
    </row>
    <row r="94" spans="1:4" ht="12.75">
      <c r="A94" s="88" t="s">
        <v>268</v>
      </c>
      <c r="B94" s="40" t="s">
        <v>67</v>
      </c>
      <c r="C94" s="41">
        <v>2</v>
      </c>
      <c r="D94" s="42"/>
    </row>
    <row r="95" spans="1:4" ht="12.75">
      <c r="A95" s="35" t="s">
        <v>238</v>
      </c>
      <c r="B95" s="36"/>
      <c r="C95" s="36"/>
      <c r="D95" s="45"/>
    </row>
    <row r="96" spans="1:4" ht="12.75">
      <c r="A96" s="43" t="s">
        <v>239</v>
      </c>
      <c r="B96" s="40" t="s">
        <v>133</v>
      </c>
      <c r="C96" s="41">
        <v>2</v>
      </c>
      <c r="D96" s="92"/>
    </row>
    <row r="97" spans="1:4" ht="12.75">
      <c r="A97" s="35" t="s">
        <v>139</v>
      </c>
      <c r="B97" s="36"/>
      <c r="C97" s="36"/>
      <c r="D97" s="38"/>
    </row>
    <row r="98" spans="1:4" ht="12.75">
      <c r="A98" s="39" t="s">
        <v>140</v>
      </c>
      <c r="B98" s="40" t="s">
        <v>39</v>
      </c>
      <c r="C98" s="41">
        <f>4.5+4.5</f>
        <v>9</v>
      </c>
      <c r="D98" s="92"/>
    </row>
    <row r="99" spans="1:4" ht="12.75">
      <c r="A99" s="79" t="s">
        <v>240</v>
      </c>
      <c r="B99" s="40" t="s">
        <v>133</v>
      </c>
      <c r="C99" s="41">
        <v>11</v>
      </c>
      <c r="D99" s="92"/>
    </row>
    <row r="100" spans="1:4" ht="12.75">
      <c r="A100" s="35" t="s">
        <v>213</v>
      </c>
      <c r="B100" s="36"/>
      <c r="C100" s="36"/>
      <c r="D100" s="38"/>
    </row>
    <row r="101" spans="1:4" s="1" customFormat="1" ht="12.75">
      <c r="A101" s="80" t="s">
        <v>241</v>
      </c>
      <c r="B101" s="41" t="s">
        <v>67</v>
      </c>
      <c r="C101" s="41">
        <f>1</f>
        <v>1</v>
      </c>
      <c r="D101" s="91"/>
    </row>
    <row r="102" spans="1:4" ht="12.75">
      <c r="A102" s="49" t="s">
        <v>141</v>
      </c>
      <c r="B102" s="36"/>
      <c r="C102" s="36"/>
      <c r="D102" s="38"/>
    </row>
    <row r="103" spans="1:4" ht="12.75">
      <c r="A103" s="52" t="s">
        <v>255</v>
      </c>
      <c r="B103" s="84" t="s">
        <v>39</v>
      </c>
      <c r="C103" s="40">
        <v>12.2</v>
      </c>
      <c r="D103" s="42"/>
    </row>
    <row r="104" spans="1:4" ht="12.75">
      <c r="A104" s="52" t="s">
        <v>256</v>
      </c>
      <c r="B104" s="40" t="s">
        <v>133</v>
      </c>
      <c r="C104" s="40">
        <v>11</v>
      </c>
      <c r="D104" s="42"/>
    </row>
    <row r="105" spans="1:4" ht="12.75">
      <c r="A105" s="51" t="s">
        <v>279</v>
      </c>
      <c r="B105" s="41" t="s">
        <v>67</v>
      </c>
      <c r="C105" s="40">
        <f>1+1</f>
        <v>2</v>
      </c>
      <c r="D105" s="42"/>
    </row>
    <row r="106" spans="1:4" ht="12.75">
      <c r="A106" s="51" t="s">
        <v>218</v>
      </c>
      <c r="B106" s="41" t="s">
        <v>39</v>
      </c>
      <c r="C106" s="41">
        <v>69.3</v>
      </c>
      <c r="D106" s="42"/>
    </row>
    <row r="107" spans="1:4" ht="12.75">
      <c r="A107" s="43" t="s">
        <v>291</v>
      </c>
      <c r="B107" s="41" t="s">
        <v>67</v>
      </c>
      <c r="C107" s="41">
        <v>1</v>
      </c>
      <c r="D107" s="42"/>
    </row>
    <row r="108" spans="1:4" ht="12.75">
      <c r="A108" s="39" t="s">
        <v>292</v>
      </c>
      <c r="B108" s="40" t="s">
        <v>67</v>
      </c>
      <c r="C108" s="40">
        <f>1</f>
        <v>1</v>
      </c>
      <c r="D108" s="42"/>
    </row>
    <row r="109" spans="1:4" ht="12.75">
      <c r="A109" s="51" t="s">
        <v>143</v>
      </c>
      <c r="B109" s="40" t="s">
        <v>67</v>
      </c>
      <c r="C109" s="41">
        <f>2</f>
        <v>2</v>
      </c>
      <c r="D109" s="42"/>
    </row>
    <row r="110" spans="1:4" ht="12.75">
      <c r="A110" s="49" t="s">
        <v>145</v>
      </c>
      <c r="B110" s="36"/>
      <c r="C110" s="36"/>
      <c r="D110" s="45"/>
    </row>
    <row r="111" spans="1:4" ht="12.75">
      <c r="A111" s="52" t="s">
        <v>147</v>
      </c>
      <c r="B111" s="40" t="s">
        <v>67</v>
      </c>
      <c r="C111" s="40">
        <v>2</v>
      </c>
      <c r="D111" s="42"/>
    </row>
    <row r="112" spans="1:4" ht="12.75">
      <c r="A112" s="52" t="s">
        <v>149</v>
      </c>
      <c r="B112" s="40" t="s">
        <v>67</v>
      </c>
      <c r="C112" s="40">
        <v>2</v>
      </c>
      <c r="D112" s="42"/>
    </row>
    <row r="113" spans="1:4" ht="12.75">
      <c r="A113" s="52" t="s">
        <v>196</v>
      </c>
      <c r="B113" s="41" t="s">
        <v>67</v>
      </c>
      <c r="C113" s="40">
        <f>9</f>
        <v>9</v>
      </c>
      <c r="D113" s="42"/>
    </row>
    <row r="114" spans="1:4" ht="12.75">
      <c r="A114" s="52" t="s">
        <v>151</v>
      </c>
      <c r="B114" s="41" t="s">
        <v>39</v>
      </c>
      <c r="C114" s="40">
        <v>250</v>
      </c>
      <c r="D114" s="47" t="s">
        <v>130</v>
      </c>
    </row>
    <row r="115" spans="1:4" ht="12.75">
      <c r="A115" s="52" t="s">
        <v>152</v>
      </c>
      <c r="B115" s="41" t="s">
        <v>133</v>
      </c>
      <c r="C115" s="40">
        <v>12</v>
      </c>
      <c r="D115" s="42"/>
    </row>
    <row r="116" spans="1:4" ht="12.75">
      <c r="A116" s="53" t="s">
        <v>153</v>
      </c>
      <c r="B116" s="41" t="s">
        <v>67</v>
      </c>
      <c r="C116" s="40">
        <f>20+17</f>
        <v>37</v>
      </c>
      <c r="D116" s="42"/>
    </row>
    <row r="117" spans="1:4" ht="12.75">
      <c r="A117" s="52" t="s">
        <v>198</v>
      </c>
      <c r="B117" s="41" t="s">
        <v>67</v>
      </c>
      <c r="C117" s="40">
        <v>2</v>
      </c>
      <c r="D117" s="42"/>
    </row>
    <row r="118" spans="1:4" ht="12.75">
      <c r="A118" s="52" t="s">
        <v>154</v>
      </c>
      <c r="B118" s="41" t="s">
        <v>67</v>
      </c>
      <c r="C118" s="40">
        <v>2</v>
      </c>
      <c r="D118" s="42"/>
    </row>
    <row r="119" spans="1:4" ht="12.75">
      <c r="A119" s="49" t="s">
        <v>157</v>
      </c>
      <c r="B119" s="36"/>
      <c r="C119" s="82"/>
      <c r="D119" s="45"/>
    </row>
    <row r="120" spans="1:4" ht="12.75">
      <c r="A120" s="51" t="s">
        <v>160</v>
      </c>
      <c r="B120" s="40" t="s">
        <v>67</v>
      </c>
      <c r="C120" s="40">
        <v>2</v>
      </c>
      <c r="D120" s="42"/>
    </row>
    <row r="121" spans="1:4" s="1" customFormat="1" ht="12.75">
      <c r="A121" s="80" t="s">
        <v>280</v>
      </c>
      <c r="B121" s="41" t="s">
        <v>39</v>
      </c>
      <c r="C121" s="41">
        <v>90</v>
      </c>
      <c r="D121" s="44"/>
    </row>
    <row r="122" spans="1:4" ht="14.25" customHeight="1">
      <c r="A122" s="35" t="s">
        <v>161</v>
      </c>
      <c r="B122" s="36"/>
      <c r="C122" s="60"/>
      <c r="D122" s="45"/>
    </row>
    <row r="123" spans="1:4" ht="12.75">
      <c r="A123" s="54" t="s">
        <v>162</v>
      </c>
      <c r="B123" s="55" t="s">
        <v>39</v>
      </c>
      <c r="C123" s="56">
        <v>585.2</v>
      </c>
      <c r="D123" s="68" t="s">
        <v>44</v>
      </c>
    </row>
    <row r="124" spans="1:4" ht="12.75">
      <c r="A124" s="54" t="s">
        <v>163</v>
      </c>
      <c r="B124" s="58" t="s">
        <v>39</v>
      </c>
      <c r="C124" s="56">
        <v>585.2</v>
      </c>
      <c r="D124" s="89" t="s">
        <v>164</v>
      </c>
    </row>
    <row r="125" spans="1:4" ht="12.75">
      <c r="A125" s="35" t="s">
        <v>165</v>
      </c>
      <c r="B125" s="36"/>
      <c r="C125" s="60"/>
      <c r="D125" s="45"/>
    </row>
    <row r="126" spans="1:4" ht="12.75">
      <c r="A126" s="54" t="s">
        <v>162</v>
      </c>
      <c r="B126" s="55" t="s">
        <v>39</v>
      </c>
      <c r="C126" s="56">
        <f>585.2+53.76</f>
        <v>638.96</v>
      </c>
      <c r="D126" s="68" t="s">
        <v>44</v>
      </c>
    </row>
    <row r="127" spans="1:4" ht="12.75">
      <c r="A127" s="54" t="s">
        <v>163</v>
      </c>
      <c r="B127" s="55" t="s">
        <v>39</v>
      </c>
      <c r="C127" s="56">
        <f>585.2+53.76</f>
        <v>638.96</v>
      </c>
      <c r="D127" s="89" t="s">
        <v>164</v>
      </c>
    </row>
    <row r="128" spans="1:4" ht="12.75">
      <c r="A128" s="35" t="s">
        <v>166</v>
      </c>
      <c r="B128" s="36"/>
      <c r="C128" s="60"/>
      <c r="D128" s="45"/>
    </row>
    <row r="129" spans="1:4" ht="12.75">
      <c r="A129" s="54" t="s">
        <v>162</v>
      </c>
      <c r="B129" s="55" t="s">
        <v>39</v>
      </c>
      <c r="C129" s="56">
        <f>585.2+333.7+10</f>
        <v>928.9000000000001</v>
      </c>
      <c r="D129" s="47" t="s">
        <v>175</v>
      </c>
    </row>
    <row r="130" spans="1:4" ht="12.75">
      <c r="A130" s="54" t="s">
        <v>163</v>
      </c>
      <c r="B130" s="58" t="s">
        <v>39</v>
      </c>
      <c r="C130" s="56">
        <f>585.2+333.7+10</f>
        <v>928.9000000000001</v>
      </c>
      <c r="D130" s="89" t="s">
        <v>164</v>
      </c>
    </row>
    <row r="131" spans="1:4" ht="12.75">
      <c r="A131" s="35" t="s">
        <v>168</v>
      </c>
      <c r="B131" s="36"/>
      <c r="C131" s="60"/>
      <c r="D131" s="45"/>
    </row>
    <row r="132" spans="1:5" ht="12.75">
      <c r="A132" s="54" t="s">
        <v>169</v>
      </c>
      <c r="B132" s="55" t="s">
        <v>170</v>
      </c>
      <c r="C132" s="66" t="s">
        <v>281</v>
      </c>
      <c r="D132" s="68" t="s">
        <v>44</v>
      </c>
      <c r="E132" s="67"/>
    </row>
    <row r="133" spans="1:4" ht="12.75">
      <c r="A133" s="54" t="s">
        <v>172</v>
      </c>
      <c r="B133" s="55" t="s">
        <v>170</v>
      </c>
      <c r="C133" s="66" t="s">
        <v>281</v>
      </c>
      <c r="D133" s="47" t="s">
        <v>293</v>
      </c>
    </row>
    <row r="134" spans="1:4" ht="12.75">
      <c r="A134" s="69" t="s">
        <v>174</v>
      </c>
      <c r="B134" s="55" t="s">
        <v>170</v>
      </c>
      <c r="C134" s="55">
        <v>2</v>
      </c>
      <c r="D134" s="68" t="s">
        <v>175</v>
      </c>
    </row>
    <row r="135" ht="12.75">
      <c r="A135" s="90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27:C27"/>
    <mergeCell ref="A38:A39"/>
    <mergeCell ref="A52:C52"/>
    <mergeCell ref="A53:C53"/>
    <mergeCell ref="A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B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B76"/>
    <mergeCell ref="A80:B80"/>
  </mergeCells>
  <printOptions/>
  <pageMargins left="0.7479166666666667" right="0.3541666666666667" top="0.5902777777777778" bottom="0.39375" header="0.5118055555555555" footer="0.5118055555555555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D126"/>
  <sheetViews>
    <sheetView workbookViewId="0" topLeftCell="A103">
      <selection activeCell="A128" sqref="A128"/>
    </sheetView>
  </sheetViews>
  <sheetFormatPr defaultColWidth="9.00390625" defaultRowHeight="12.75"/>
  <cols>
    <col min="1" max="1" width="48.625" style="1" customWidth="1"/>
    <col min="2" max="2" width="12.25390625" style="1" customWidth="1"/>
    <col min="3" max="3" width="13.375" style="1" customWidth="1"/>
    <col min="4" max="4" width="20.25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22.5" customHeight="1">
      <c r="A4" s="3" t="s">
        <v>294</v>
      </c>
      <c r="B4" s="3"/>
      <c r="C4" s="3"/>
    </row>
    <row r="5" spans="1:3" ht="18.75" customHeight="1">
      <c r="A5" s="2" t="s">
        <v>4</v>
      </c>
      <c r="B5" s="2"/>
      <c r="C5" s="2"/>
    </row>
    <row r="7" spans="1:3" ht="12.75">
      <c r="A7" s="1" t="s">
        <v>5</v>
      </c>
      <c r="C7" s="4" t="s">
        <v>295</v>
      </c>
    </row>
    <row r="8" spans="1:3" ht="12.75">
      <c r="A8" s="1" t="s">
        <v>7</v>
      </c>
      <c r="C8" s="4" t="s">
        <v>296</v>
      </c>
    </row>
    <row r="9" spans="1:3" ht="12.75">
      <c r="A9" s="1" t="s">
        <v>9</v>
      </c>
      <c r="C9" s="70" t="s">
        <v>297</v>
      </c>
    </row>
    <row r="10" ht="12.75">
      <c r="C10" s="7"/>
    </row>
    <row r="11" spans="1:3" ht="12.75">
      <c r="A11" s="1" t="s">
        <v>11</v>
      </c>
      <c r="C11" s="7" t="s">
        <v>298</v>
      </c>
    </row>
    <row r="12" spans="1:3" ht="12.75">
      <c r="A12" s="1" t="s">
        <v>13</v>
      </c>
      <c r="C12" s="7"/>
    </row>
    <row r="13" spans="1:3" ht="12.75">
      <c r="A13" s="1" t="s">
        <v>14</v>
      </c>
      <c r="C13" s="7"/>
    </row>
    <row r="14" spans="1:3" ht="12.75">
      <c r="A14" s="1" t="s">
        <v>15</v>
      </c>
      <c r="B14" s="1" t="s">
        <v>16</v>
      </c>
      <c r="C14" s="7"/>
    </row>
    <row r="15" spans="1:3" ht="12.75">
      <c r="A15" s="1" t="s">
        <v>17</v>
      </c>
      <c r="B15" s="1" t="s">
        <v>231</v>
      </c>
      <c r="C15" s="7"/>
    </row>
    <row r="16" spans="1:3" ht="12.75">
      <c r="A16" s="1" t="s">
        <v>19</v>
      </c>
      <c r="B16" s="1" t="s">
        <v>20</v>
      </c>
      <c r="C16" s="7"/>
    </row>
    <row r="17" spans="1:3" ht="12.75">
      <c r="A17" s="1" t="s">
        <v>21</v>
      </c>
      <c r="B17" s="1" t="s">
        <v>22</v>
      </c>
      <c r="C17" s="7"/>
    </row>
    <row r="18" spans="1:3" ht="12.75">
      <c r="A18" s="1" t="s">
        <v>23</v>
      </c>
      <c r="B18" s="1" t="s">
        <v>232</v>
      </c>
      <c r="C18" s="7"/>
    </row>
    <row r="19" spans="1:3" ht="12.75">
      <c r="A19" s="1" t="s">
        <v>25</v>
      </c>
      <c r="B19" s="1" t="s">
        <v>26</v>
      </c>
      <c r="C19" s="7"/>
    </row>
    <row r="20" spans="1:3" ht="12.75">
      <c r="A20" s="1" t="s">
        <v>27</v>
      </c>
      <c r="B20" s="1" t="s">
        <v>28</v>
      </c>
      <c r="C20" s="7"/>
    </row>
    <row r="21" spans="1:3" ht="12.75">
      <c r="A21" s="1" t="s">
        <v>29</v>
      </c>
      <c r="C21" s="7"/>
    </row>
    <row r="22" spans="1:3" ht="12.75">
      <c r="A22" s="1" t="s">
        <v>30</v>
      </c>
      <c r="B22" s="1" t="s">
        <v>31</v>
      </c>
      <c r="C22" s="7"/>
    </row>
    <row r="23" ht="12.75">
      <c r="C23" s="98"/>
    </row>
    <row r="24" spans="1:3" ht="12.75">
      <c r="A24" s="1" t="s">
        <v>32</v>
      </c>
      <c r="C24" s="71">
        <v>0.8685</v>
      </c>
    </row>
    <row r="25" spans="1:3" ht="12.75">
      <c r="A25" s="72"/>
      <c r="C25" s="7"/>
    </row>
    <row r="26" spans="1:3" ht="25.5" customHeight="1">
      <c r="A26" s="10" t="s">
        <v>33</v>
      </c>
      <c r="B26" s="10"/>
      <c r="C26" s="10"/>
    </row>
    <row r="28" spans="1:4" ht="38.25">
      <c r="A28" s="11" t="s">
        <v>34</v>
      </c>
      <c r="B28" s="11" t="s">
        <v>35</v>
      </c>
      <c r="C28" s="11" t="s">
        <v>36</v>
      </c>
      <c r="D28" s="12" t="s">
        <v>37</v>
      </c>
    </row>
    <row r="29" spans="1:4" ht="25.5">
      <c r="A29" s="13" t="s">
        <v>38</v>
      </c>
      <c r="B29" s="14" t="s">
        <v>39</v>
      </c>
      <c r="C29" s="15">
        <v>299.8</v>
      </c>
      <c r="D29" s="16" t="s">
        <v>40</v>
      </c>
    </row>
    <row r="30" spans="1:4" ht="12.75">
      <c r="A30" s="13" t="s">
        <v>41</v>
      </c>
      <c r="B30" s="14" t="s">
        <v>39</v>
      </c>
      <c r="C30" s="15">
        <v>299.8</v>
      </c>
      <c r="D30" s="16" t="s">
        <v>42</v>
      </c>
    </row>
    <row r="31" spans="1:4" ht="51">
      <c r="A31" s="13" t="s">
        <v>43</v>
      </c>
      <c r="B31" s="14" t="s">
        <v>39</v>
      </c>
      <c r="C31" s="15">
        <v>1447</v>
      </c>
      <c r="D31" s="16" t="s">
        <v>44</v>
      </c>
    </row>
    <row r="32" spans="1:4" ht="12.75">
      <c r="A32" s="13" t="s">
        <v>45</v>
      </c>
      <c r="B32" s="14" t="s">
        <v>39</v>
      </c>
      <c r="C32" s="15">
        <v>19</v>
      </c>
      <c r="D32" s="16" t="s">
        <v>46</v>
      </c>
    </row>
    <row r="33" spans="1:4" ht="25.5">
      <c r="A33" s="13" t="s">
        <v>47</v>
      </c>
      <c r="B33" s="17" t="s">
        <v>39</v>
      </c>
      <c r="C33" s="15">
        <v>58.3</v>
      </c>
      <c r="D33" s="16" t="s">
        <v>48</v>
      </c>
    </row>
    <row r="34" spans="1:4" ht="25.5">
      <c r="A34" s="13" t="s">
        <v>49</v>
      </c>
      <c r="B34" s="17" t="s">
        <v>50</v>
      </c>
      <c r="C34" s="15">
        <v>300</v>
      </c>
      <c r="D34" s="16" t="s">
        <v>51</v>
      </c>
    </row>
    <row r="35" spans="1:4" ht="25.5">
      <c r="A35" s="13" t="s">
        <v>52</v>
      </c>
      <c r="B35" s="17" t="s">
        <v>39</v>
      </c>
      <c r="C35" s="15">
        <v>450</v>
      </c>
      <c r="D35" s="16" t="s">
        <v>53</v>
      </c>
    </row>
    <row r="36" spans="1:4" ht="12.75">
      <c r="A36" s="13" t="s">
        <v>54</v>
      </c>
      <c r="B36" s="17" t="s">
        <v>39</v>
      </c>
      <c r="C36" s="15"/>
      <c r="D36" s="16" t="s">
        <v>233</v>
      </c>
    </row>
    <row r="37" spans="1:4" ht="12.75">
      <c r="A37" s="13" t="s">
        <v>56</v>
      </c>
      <c r="B37" s="17" t="s">
        <v>39</v>
      </c>
      <c r="C37" s="15"/>
      <c r="D37" s="16" t="s">
        <v>233</v>
      </c>
    </row>
    <row r="38" spans="1:4" ht="25.5">
      <c r="A38" s="13" t="s">
        <v>59</v>
      </c>
      <c r="B38" s="17" t="s">
        <v>39</v>
      </c>
      <c r="C38" s="15"/>
      <c r="D38" s="16" t="s">
        <v>233</v>
      </c>
    </row>
    <row r="39" spans="1:4" ht="12.75">
      <c r="A39" s="13" t="s">
        <v>61</v>
      </c>
      <c r="B39" s="17" t="s">
        <v>39</v>
      </c>
      <c r="C39" s="15">
        <v>1553.4</v>
      </c>
      <c r="D39" s="16" t="s">
        <v>46</v>
      </c>
    </row>
    <row r="40" spans="1:4" ht="25.5">
      <c r="A40" s="13" t="s">
        <v>62</v>
      </c>
      <c r="B40" s="17" t="s">
        <v>39</v>
      </c>
      <c r="C40" s="73">
        <v>300</v>
      </c>
      <c r="D40" s="16" t="s">
        <v>53</v>
      </c>
    </row>
    <row r="41" spans="1:4" ht="12.75">
      <c r="A41" s="13" t="s">
        <v>63</v>
      </c>
      <c r="B41" s="17" t="s">
        <v>39</v>
      </c>
      <c r="C41" s="15"/>
      <c r="D41" s="16" t="s">
        <v>233</v>
      </c>
    </row>
    <row r="42" spans="1:4" ht="12.75">
      <c r="A42" s="13" t="s">
        <v>64</v>
      </c>
      <c r="B42" s="17" t="s">
        <v>39</v>
      </c>
      <c r="C42" s="15"/>
      <c r="D42" s="16" t="s">
        <v>233</v>
      </c>
    </row>
    <row r="43" spans="1:4" ht="12.75">
      <c r="A43" s="13" t="s">
        <v>65</v>
      </c>
      <c r="B43" s="17" t="s">
        <v>39</v>
      </c>
      <c r="C43" s="15"/>
      <c r="D43" s="16" t="s">
        <v>233</v>
      </c>
    </row>
    <row r="44" spans="1:4" ht="12.75">
      <c r="A44" s="13" t="s">
        <v>66</v>
      </c>
      <c r="B44" s="17" t="s">
        <v>67</v>
      </c>
      <c r="C44" s="15"/>
      <c r="D44" s="16" t="s">
        <v>233</v>
      </c>
    </row>
    <row r="45" spans="1:4" ht="25.5">
      <c r="A45" s="13" t="s">
        <v>68</v>
      </c>
      <c r="B45" s="17" t="s">
        <v>67</v>
      </c>
      <c r="C45" s="15"/>
      <c r="D45" s="16" t="s">
        <v>233</v>
      </c>
    </row>
    <row r="46" spans="1:4" ht="12.75">
      <c r="A46" s="13" t="s">
        <v>70</v>
      </c>
      <c r="B46" s="17" t="s">
        <v>39</v>
      </c>
      <c r="C46" s="15"/>
      <c r="D46" s="16" t="s">
        <v>233</v>
      </c>
    </row>
    <row r="47" spans="1:4" ht="12.75">
      <c r="A47" s="13" t="s">
        <v>72</v>
      </c>
      <c r="B47" s="17" t="s">
        <v>39</v>
      </c>
      <c r="C47" s="15"/>
      <c r="D47" s="16" t="s">
        <v>233</v>
      </c>
    </row>
    <row r="48" spans="1:4" ht="25.5">
      <c r="A48" s="13" t="s">
        <v>73</v>
      </c>
      <c r="B48" s="17" t="s">
        <v>67</v>
      </c>
      <c r="C48" s="15"/>
      <c r="D48" s="16" t="s">
        <v>233</v>
      </c>
    </row>
    <row r="49" spans="1:4" ht="12.75">
      <c r="A49" s="13" t="s">
        <v>74</v>
      </c>
      <c r="B49" s="17" t="s">
        <v>39</v>
      </c>
      <c r="C49" s="15">
        <v>744</v>
      </c>
      <c r="D49" s="16" t="s">
        <v>60</v>
      </c>
    </row>
    <row r="50" spans="1:4" ht="12.75" customHeight="1">
      <c r="A50" s="18" t="s">
        <v>75</v>
      </c>
      <c r="B50" s="18"/>
      <c r="C50" s="18"/>
      <c r="D50" s="19"/>
    </row>
    <row r="51" spans="1:4" ht="12.75" customHeight="1">
      <c r="A51" s="20" t="s">
        <v>76</v>
      </c>
      <c r="B51" s="20"/>
      <c r="C51" s="20"/>
      <c r="D51" s="21"/>
    </row>
    <row r="52" spans="1:4" ht="12.75" customHeight="1">
      <c r="A52" s="22" t="s">
        <v>77</v>
      </c>
      <c r="B52" s="22"/>
      <c r="C52" s="22"/>
      <c r="D52" s="23"/>
    </row>
    <row r="53" spans="1:4" ht="25.5" customHeight="1">
      <c r="A53" s="13" t="s">
        <v>78</v>
      </c>
      <c r="B53" s="24" t="s">
        <v>79</v>
      </c>
      <c r="C53" s="24"/>
      <c r="D53" s="13" t="s">
        <v>80</v>
      </c>
    </row>
    <row r="54" spans="1:4" ht="25.5" customHeight="1">
      <c r="A54" s="13" t="s">
        <v>81</v>
      </c>
      <c r="B54" s="24" t="s">
        <v>79</v>
      </c>
      <c r="C54" s="24"/>
      <c r="D54" s="13" t="s">
        <v>80</v>
      </c>
    </row>
    <row r="55" spans="1:4" ht="25.5" customHeight="1">
      <c r="A55" s="13" t="s">
        <v>82</v>
      </c>
      <c r="B55" s="24" t="s">
        <v>79</v>
      </c>
      <c r="C55" s="24"/>
      <c r="D55" s="13" t="s">
        <v>83</v>
      </c>
    </row>
    <row r="56" spans="1:4" ht="25.5" customHeight="1">
      <c r="A56" s="13" t="s">
        <v>84</v>
      </c>
      <c r="B56" s="24" t="s">
        <v>79</v>
      </c>
      <c r="C56" s="24"/>
      <c r="D56" s="13" t="s">
        <v>83</v>
      </c>
    </row>
    <row r="57" spans="1:4" ht="24.75" customHeight="1">
      <c r="A57" s="13" t="s">
        <v>85</v>
      </c>
      <c r="B57" s="24" t="s">
        <v>79</v>
      </c>
      <c r="C57" s="24"/>
      <c r="D57" s="13" t="s">
        <v>86</v>
      </c>
    </row>
    <row r="58" spans="1:4" ht="24.75" customHeight="1">
      <c r="A58" s="13" t="s">
        <v>87</v>
      </c>
      <c r="B58" s="24" t="s">
        <v>79</v>
      </c>
      <c r="C58" s="24"/>
      <c r="D58" s="13" t="s">
        <v>88</v>
      </c>
    </row>
    <row r="59" spans="1:4" ht="25.5" customHeight="1">
      <c r="A59" s="13" t="s">
        <v>89</v>
      </c>
      <c r="B59" s="24" t="s">
        <v>79</v>
      </c>
      <c r="C59" s="24"/>
      <c r="D59" s="13" t="s">
        <v>40</v>
      </c>
    </row>
    <row r="60" spans="1:4" ht="25.5" customHeight="1">
      <c r="A60" s="13" t="s">
        <v>90</v>
      </c>
      <c r="B60" s="24" t="s">
        <v>79</v>
      </c>
      <c r="C60" s="24"/>
      <c r="D60" s="13" t="s">
        <v>88</v>
      </c>
    </row>
    <row r="61" spans="1:4" ht="25.5" customHeight="1">
      <c r="A61" s="13" t="s">
        <v>91</v>
      </c>
      <c r="B61" s="24" t="s">
        <v>79</v>
      </c>
      <c r="C61" s="24"/>
      <c r="D61" s="13" t="s">
        <v>92</v>
      </c>
    </row>
    <row r="62" spans="1:4" ht="25.5" customHeight="1">
      <c r="A62" s="13" t="s">
        <v>93</v>
      </c>
      <c r="B62" s="24" t="s">
        <v>79</v>
      </c>
      <c r="C62" s="24"/>
      <c r="D62" s="86" t="s">
        <v>94</v>
      </c>
    </row>
    <row r="63" spans="1:4" ht="12.75" customHeight="1">
      <c r="A63" s="28" t="s">
        <v>95</v>
      </c>
      <c r="B63" s="28"/>
      <c r="C63" s="29"/>
      <c r="D63" s="30"/>
    </row>
    <row r="64" spans="1:4" ht="27.75" customHeight="1">
      <c r="A64" s="13" t="s">
        <v>96</v>
      </c>
      <c r="B64" s="24" t="s">
        <v>79</v>
      </c>
      <c r="C64" s="24"/>
      <c r="D64" s="13" t="s">
        <v>88</v>
      </c>
    </row>
    <row r="65" spans="1:4" ht="25.5" customHeight="1">
      <c r="A65" s="13" t="s">
        <v>97</v>
      </c>
      <c r="B65" s="24" t="s">
        <v>79</v>
      </c>
      <c r="C65" s="24"/>
      <c r="D65" s="13" t="s">
        <v>98</v>
      </c>
    </row>
    <row r="66" spans="1:4" ht="25.5" customHeight="1">
      <c r="A66" s="13" t="s">
        <v>99</v>
      </c>
      <c r="B66" s="24" t="s">
        <v>79</v>
      </c>
      <c r="C66" s="24"/>
      <c r="D66" s="13" t="s">
        <v>100</v>
      </c>
    </row>
    <row r="67" spans="1:4" ht="27.75" customHeight="1">
      <c r="A67" s="13" t="s">
        <v>101</v>
      </c>
      <c r="B67" s="24" t="s">
        <v>79</v>
      </c>
      <c r="C67" s="24"/>
      <c r="D67" s="13" t="s">
        <v>88</v>
      </c>
    </row>
    <row r="68" spans="1:4" ht="26.25" customHeight="1">
      <c r="A68" s="13" t="s">
        <v>102</v>
      </c>
      <c r="B68" s="24" t="s">
        <v>79</v>
      </c>
      <c r="C68" s="24"/>
      <c r="D68" s="13" t="s">
        <v>60</v>
      </c>
    </row>
    <row r="69" spans="1:4" ht="30" customHeight="1">
      <c r="A69" s="13" t="s">
        <v>103</v>
      </c>
      <c r="B69" s="24" t="s">
        <v>79</v>
      </c>
      <c r="C69" s="24"/>
      <c r="D69" s="13" t="s">
        <v>104</v>
      </c>
    </row>
    <row r="70" spans="1:4" ht="25.5" customHeight="1">
      <c r="A70" s="13" t="s">
        <v>105</v>
      </c>
      <c r="B70" s="24" t="s">
        <v>79</v>
      </c>
      <c r="C70" s="24"/>
      <c r="D70" s="13" t="s">
        <v>106</v>
      </c>
    </row>
    <row r="71" spans="1:4" ht="25.5" customHeight="1">
      <c r="A71" s="13" t="s">
        <v>107</v>
      </c>
      <c r="B71" s="24" t="s">
        <v>79</v>
      </c>
      <c r="C71" s="24"/>
      <c r="D71" s="13" t="s">
        <v>108</v>
      </c>
    </row>
    <row r="72" spans="1:4" ht="24.75" customHeight="1">
      <c r="A72" s="13" t="s">
        <v>89</v>
      </c>
      <c r="B72" s="24" t="s">
        <v>79</v>
      </c>
      <c r="C72" s="24"/>
      <c r="D72" s="13" t="s">
        <v>40</v>
      </c>
    </row>
    <row r="73" spans="1:4" ht="25.5" customHeight="1">
      <c r="A73" s="13" t="s">
        <v>109</v>
      </c>
      <c r="B73" s="24" t="s">
        <v>79</v>
      </c>
      <c r="C73" s="24"/>
      <c r="D73" s="13" t="s">
        <v>108</v>
      </c>
    </row>
    <row r="74" spans="1:4" ht="12.75" customHeight="1">
      <c r="A74" s="28" t="s">
        <v>110</v>
      </c>
      <c r="B74" s="28"/>
      <c r="C74" s="31"/>
      <c r="D74" s="30"/>
    </row>
    <row r="75" spans="1:4" ht="27.75" customHeight="1">
      <c r="A75" s="13" t="s">
        <v>111</v>
      </c>
      <c r="B75" s="14" t="s">
        <v>112</v>
      </c>
      <c r="C75" s="15">
        <f>194*1.15*12</f>
        <v>2677.2</v>
      </c>
      <c r="D75" s="32" t="s">
        <v>69</v>
      </c>
    </row>
    <row r="76" spans="1:4" ht="12.75">
      <c r="A76" s="13" t="s">
        <v>113</v>
      </c>
      <c r="B76" s="33" t="s">
        <v>112</v>
      </c>
      <c r="C76" s="15">
        <f>0.75*4*2*51</f>
        <v>306</v>
      </c>
      <c r="D76" s="32" t="s">
        <v>114</v>
      </c>
    </row>
    <row r="77" spans="1:4" ht="25.5">
      <c r="A77" s="13" t="s">
        <v>115</v>
      </c>
      <c r="B77" s="14" t="s">
        <v>67</v>
      </c>
      <c r="C77" s="15">
        <v>4</v>
      </c>
      <c r="D77" s="32" t="s">
        <v>116</v>
      </c>
    </row>
    <row r="78" spans="1:4" ht="12.75" customHeight="1">
      <c r="A78" s="75" t="s">
        <v>117</v>
      </c>
      <c r="B78" s="75"/>
      <c r="C78" s="76"/>
      <c r="D78" s="77"/>
    </row>
    <row r="79" spans="1:4" ht="12.75">
      <c r="A79" s="35" t="s">
        <v>118</v>
      </c>
      <c r="B79" s="36"/>
      <c r="C79" s="37"/>
      <c r="D79" s="38"/>
    </row>
    <row r="80" spans="1:4" ht="12.75">
      <c r="A80" s="39" t="s">
        <v>183</v>
      </c>
      <c r="B80" s="40" t="s">
        <v>133</v>
      </c>
      <c r="C80" s="41">
        <v>18</v>
      </c>
      <c r="D80" s="42"/>
    </row>
    <row r="81" spans="1:4" ht="12.75">
      <c r="A81" s="39" t="s">
        <v>121</v>
      </c>
      <c r="B81" s="40" t="s">
        <v>122</v>
      </c>
      <c r="C81" s="40">
        <v>1</v>
      </c>
      <c r="D81" s="42"/>
    </row>
    <row r="82" spans="1:4" ht="12.75">
      <c r="A82" s="35" t="s">
        <v>235</v>
      </c>
      <c r="B82" s="36"/>
      <c r="C82" s="36"/>
      <c r="D82" s="45"/>
    </row>
    <row r="83" spans="1:4" s="1" customFormat="1" ht="12.75">
      <c r="A83" s="43" t="s">
        <v>252</v>
      </c>
      <c r="B83" s="41" t="s">
        <v>39</v>
      </c>
      <c r="C83" s="41">
        <v>792</v>
      </c>
      <c r="D83" s="44"/>
    </row>
    <row r="84" spans="1:4" ht="12.75">
      <c r="A84" s="39" t="s">
        <v>299</v>
      </c>
      <c r="B84" s="40" t="s">
        <v>67</v>
      </c>
      <c r="C84" s="41">
        <f>1+1+1</f>
        <v>3</v>
      </c>
      <c r="D84" s="42"/>
    </row>
    <row r="85" spans="1:4" ht="12.75">
      <c r="A85" s="39" t="s">
        <v>236</v>
      </c>
      <c r="B85" s="40" t="s">
        <v>67</v>
      </c>
      <c r="C85" s="41">
        <f>1+4</f>
        <v>5</v>
      </c>
      <c r="D85" s="42"/>
    </row>
    <row r="86" spans="1:4" ht="12.75">
      <c r="A86" s="39" t="s">
        <v>300</v>
      </c>
      <c r="B86" s="40" t="s">
        <v>67</v>
      </c>
      <c r="C86" s="41">
        <f>1</f>
        <v>1</v>
      </c>
      <c r="D86" s="42"/>
    </row>
    <row r="87" spans="1:4" ht="12.75">
      <c r="A87" s="39" t="s">
        <v>253</v>
      </c>
      <c r="B87" s="40" t="s">
        <v>39</v>
      </c>
      <c r="C87" s="41">
        <f>3+1</f>
        <v>4</v>
      </c>
      <c r="D87" s="42"/>
    </row>
    <row r="88" spans="1:4" ht="12.75">
      <c r="A88" s="35" t="s">
        <v>126</v>
      </c>
      <c r="B88" s="36"/>
      <c r="C88" s="36"/>
      <c r="D88" s="45"/>
    </row>
    <row r="89" spans="1:4" ht="12.75">
      <c r="A89" s="43" t="s">
        <v>128</v>
      </c>
      <c r="B89" s="46" t="s">
        <v>67</v>
      </c>
      <c r="C89" s="41">
        <f>3</f>
        <v>3</v>
      </c>
      <c r="D89" s="42"/>
    </row>
    <row r="90" spans="1:4" s="1" customFormat="1" ht="12.75">
      <c r="A90" s="43" t="s">
        <v>129</v>
      </c>
      <c r="B90" s="41" t="s">
        <v>67</v>
      </c>
      <c r="C90" s="41">
        <v>8</v>
      </c>
      <c r="D90" s="68" t="s">
        <v>130</v>
      </c>
    </row>
    <row r="91" spans="1:4" s="1" customFormat="1" ht="12.75">
      <c r="A91" s="43" t="s">
        <v>131</v>
      </c>
      <c r="B91" s="41" t="s">
        <v>67</v>
      </c>
      <c r="C91" s="41">
        <v>4</v>
      </c>
      <c r="D91" s="68" t="s">
        <v>130</v>
      </c>
    </row>
    <row r="92" spans="1:4" ht="12.75">
      <c r="A92" s="43" t="s">
        <v>134</v>
      </c>
      <c r="B92" s="40" t="s">
        <v>39</v>
      </c>
      <c r="C92" s="41">
        <f>0.8+0.2+3.8+2.1+0.8</f>
        <v>7.7</v>
      </c>
      <c r="D92" s="42"/>
    </row>
    <row r="93" spans="1:4" ht="12.75">
      <c r="A93" s="43" t="s">
        <v>277</v>
      </c>
      <c r="B93" s="40" t="s">
        <v>67</v>
      </c>
      <c r="C93" s="41">
        <v>2</v>
      </c>
      <c r="D93" s="42"/>
    </row>
    <row r="94" spans="1:4" ht="12.75">
      <c r="A94" s="88" t="s">
        <v>267</v>
      </c>
      <c r="B94" s="40" t="s">
        <v>122</v>
      </c>
      <c r="C94" s="41">
        <f>1</f>
        <v>1</v>
      </c>
      <c r="D94" s="42"/>
    </row>
    <row r="95" spans="1:4" ht="12.75">
      <c r="A95" s="35" t="s">
        <v>139</v>
      </c>
      <c r="B95" s="36"/>
      <c r="C95" s="36"/>
      <c r="D95" s="45"/>
    </row>
    <row r="96" spans="1:4" ht="12.75">
      <c r="A96" s="39" t="s">
        <v>140</v>
      </c>
      <c r="B96" s="40" t="s">
        <v>39</v>
      </c>
      <c r="C96" s="41">
        <f>3</f>
        <v>3</v>
      </c>
      <c r="D96" s="42"/>
    </row>
    <row r="97" spans="1:4" ht="12.75">
      <c r="A97" s="79" t="s">
        <v>240</v>
      </c>
      <c r="B97" s="40" t="s">
        <v>133</v>
      </c>
      <c r="C97" s="41">
        <v>50</v>
      </c>
      <c r="D97" s="42"/>
    </row>
    <row r="98" spans="1:4" ht="12.75">
      <c r="A98" s="49" t="s">
        <v>141</v>
      </c>
      <c r="B98" s="36"/>
      <c r="C98" s="36"/>
      <c r="D98" s="45"/>
    </row>
    <row r="99" spans="1:4" ht="12.75">
      <c r="A99" s="51" t="s">
        <v>216</v>
      </c>
      <c r="B99" s="41" t="s">
        <v>67</v>
      </c>
      <c r="C99" s="41">
        <f>1+1</f>
        <v>2</v>
      </c>
      <c r="D99" s="42"/>
    </row>
    <row r="100" spans="1:4" ht="12.75">
      <c r="A100" s="51" t="s">
        <v>142</v>
      </c>
      <c r="B100" s="41" t="s">
        <v>67</v>
      </c>
      <c r="C100" s="41">
        <f>1+1</f>
        <v>2</v>
      </c>
      <c r="D100" s="42"/>
    </row>
    <row r="101" spans="1:4" s="1" customFormat="1" ht="12.75">
      <c r="A101" s="80" t="s">
        <v>242</v>
      </c>
      <c r="B101" s="41" t="s">
        <v>67</v>
      </c>
      <c r="C101" s="41">
        <v>2</v>
      </c>
      <c r="D101" s="99" t="s">
        <v>290</v>
      </c>
    </row>
    <row r="102" spans="1:4" ht="12.75">
      <c r="A102" s="51" t="s">
        <v>143</v>
      </c>
      <c r="B102" s="40" t="s">
        <v>67</v>
      </c>
      <c r="C102" s="41">
        <v>2</v>
      </c>
      <c r="D102" s="100"/>
    </row>
    <row r="103" spans="1:4" ht="12.75">
      <c r="A103" s="51" t="s">
        <v>301</v>
      </c>
      <c r="B103" s="40" t="s">
        <v>302</v>
      </c>
      <c r="C103" s="40">
        <f>32+14</f>
        <v>46</v>
      </c>
      <c r="D103" s="100"/>
    </row>
    <row r="104" spans="1:4" ht="12.75">
      <c r="A104" s="49" t="s">
        <v>145</v>
      </c>
      <c r="B104" s="36"/>
      <c r="C104" s="36"/>
      <c r="D104" s="101"/>
    </row>
    <row r="105" spans="1:4" ht="12.75">
      <c r="A105" s="52" t="s">
        <v>222</v>
      </c>
      <c r="B105" s="41" t="s">
        <v>112</v>
      </c>
      <c r="C105" s="40">
        <v>14</v>
      </c>
      <c r="D105" s="100"/>
    </row>
    <row r="106" spans="1:4" ht="12.75">
      <c r="A106" s="52" t="s">
        <v>223</v>
      </c>
      <c r="B106" s="41" t="s">
        <v>39</v>
      </c>
      <c r="C106" s="40">
        <v>509</v>
      </c>
      <c r="D106" s="100"/>
    </row>
    <row r="107" spans="1:4" ht="12.75">
      <c r="A107" s="52" t="s">
        <v>147</v>
      </c>
      <c r="B107" s="40" t="s">
        <v>67</v>
      </c>
      <c r="C107" s="40">
        <f>4</f>
        <v>4</v>
      </c>
      <c r="D107" s="100"/>
    </row>
    <row r="108" spans="1:4" ht="12.75">
      <c r="A108" s="52" t="s">
        <v>149</v>
      </c>
      <c r="B108" s="40" t="s">
        <v>67</v>
      </c>
      <c r="C108" s="40">
        <v>4</v>
      </c>
      <c r="D108" s="100"/>
    </row>
    <row r="109" spans="1:4" s="1" customFormat="1" ht="12.75">
      <c r="A109" s="80" t="s">
        <v>151</v>
      </c>
      <c r="B109" s="41" t="s">
        <v>39</v>
      </c>
      <c r="C109" s="41">
        <v>370</v>
      </c>
      <c r="D109" s="99" t="s">
        <v>130</v>
      </c>
    </row>
    <row r="110" spans="1:4" ht="12.75">
      <c r="A110" s="52" t="s">
        <v>198</v>
      </c>
      <c r="B110" s="41" t="s">
        <v>67</v>
      </c>
      <c r="C110" s="40">
        <f>3</f>
        <v>3</v>
      </c>
      <c r="D110" s="100"/>
    </row>
    <row r="111" spans="1:4" ht="12.75">
      <c r="A111" s="52" t="s">
        <v>154</v>
      </c>
      <c r="B111" s="41" t="s">
        <v>67</v>
      </c>
      <c r="C111" s="40">
        <v>4</v>
      </c>
      <c r="D111" s="100"/>
    </row>
    <row r="112" spans="1:4" ht="12.75">
      <c r="A112" s="49" t="s">
        <v>157</v>
      </c>
      <c r="B112" s="36"/>
      <c r="C112" s="82"/>
      <c r="D112" s="101"/>
    </row>
    <row r="113" spans="1:4" ht="12.75">
      <c r="A113" s="51" t="s">
        <v>158</v>
      </c>
      <c r="B113" s="40" t="s">
        <v>67</v>
      </c>
      <c r="C113" s="40">
        <f>2+2</f>
        <v>4</v>
      </c>
      <c r="D113" s="100"/>
    </row>
    <row r="114" spans="1:4" ht="12.75">
      <c r="A114" s="51" t="s">
        <v>160</v>
      </c>
      <c r="B114" s="40" t="s">
        <v>67</v>
      </c>
      <c r="C114" s="40">
        <v>4</v>
      </c>
      <c r="D114" s="100"/>
    </row>
    <row r="115" spans="1:4" s="1" customFormat="1" ht="12.75">
      <c r="A115" s="80" t="s">
        <v>202</v>
      </c>
      <c r="B115" s="41" t="s">
        <v>39</v>
      </c>
      <c r="C115" s="41">
        <v>462</v>
      </c>
      <c r="D115" s="102"/>
    </row>
    <row r="116" spans="1:4" s="1" customFormat="1" ht="12.75">
      <c r="A116" s="80" t="s">
        <v>303</v>
      </c>
      <c r="B116" s="41" t="s">
        <v>39</v>
      </c>
      <c r="C116" s="41">
        <v>24</v>
      </c>
      <c r="D116" s="102"/>
    </row>
    <row r="117" spans="1:4" ht="12.75">
      <c r="A117" s="49" t="s">
        <v>161</v>
      </c>
      <c r="B117" s="36"/>
      <c r="C117" s="60"/>
      <c r="D117" s="82"/>
    </row>
    <row r="118" spans="1:4" ht="12.75">
      <c r="A118" s="54" t="s">
        <v>162</v>
      </c>
      <c r="B118" s="55" t="s">
        <v>39</v>
      </c>
      <c r="C118" s="56">
        <v>744</v>
      </c>
      <c r="D118" s="99" t="s">
        <v>44</v>
      </c>
    </row>
    <row r="119" spans="1:4" ht="12.75">
      <c r="A119" s="54" t="s">
        <v>163</v>
      </c>
      <c r="B119" s="58" t="s">
        <v>39</v>
      </c>
      <c r="C119" s="56">
        <v>744</v>
      </c>
      <c r="D119" s="103" t="s">
        <v>164</v>
      </c>
    </row>
    <row r="120" spans="1:4" ht="12.75">
      <c r="A120" s="49" t="s">
        <v>165</v>
      </c>
      <c r="B120" s="36"/>
      <c r="C120" s="60"/>
      <c r="D120" s="82"/>
    </row>
    <row r="121" spans="1:4" ht="12.75">
      <c r="A121" s="54" t="s">
        <v>162</v>
      </c>
      <c r="B121" s="55" t="s">
        <v>39</v>
      </c>
      <c r="C121" s="56">
        <f>744+107.52</f>
        <v>851.52</v>
      </c>
      <c r="D121" s="99" t="s">
        <v>44</v>
      </c>
    </row>
    <row r="122" spans="1:4" ht="12.75">
      <c r="A122" s="54" t="s">
        <v>163</v>
      </c>
      <c r="B122" s="55" t="s">
        <v>39</v>
      </c>
      <c r="C122" s="56">
        <f>744+107.52</f>
        <v>851.52</v>
      </c>
      <c r="D122" s="103" t="s">
        <v>164</v>
      </c>
    </row>
    <row r="123" spans="1:4" ht="12.75">
      <c r="A123" s="49" t="s">
        <v>166</v>
      </c>
      <c r="B123" s="36"/>
      <c r="C123" s="60"/>
      <c r="D123" s="82"/>
    </row>
    <row r="124" spans="1:4" ht="12.75">
      <c r="A124" s="54" t="s">
        <v>162</v>
      </c>
      <c r="B124" s="55" t="s">
        <v>39</v>
      </c>
      <c r="C124" s="56">
        <f>744+267.9+299.8</f>
        <v>1311.7</v>
      </c>
      <c r="D124" s="104" t="s">
        <v>175</v>
      </c>
    </row>
    <row r="125" spans="1:4" ht="12.75">
      <c r="A125" s="54" t="s">
        <v>163</v>
      </c>
      <c r="B125" s="58" t="s">
        <v>39</v>
      </c>
      <c r="C125" s="56">
        <f>744+267.9+299.8</f>
        <v>1311.7</v>
      </c>
      <c r="D125" s="103" t="s">
        <v>164</v>
      </c>
    </row>
    <row r="126" ht="12.75">
      <c r="A126" s="90"/>
    </row>
  </sheetData>
  <sheetProtection selectLockedCells="1" selectUnlockedCells="1"/>
  <mergeCells count="32">
    <mergeCell ref="A1:C1"/>
    <mergeCell ref="A2:C2"/>
    <mergeCell ref="A3:C3"/>
    <mergeCell ref="A4:C4"/>
    <mergeCell ref="A5:C5"/>
    <mergeCell ref="A26:C26"/>
    <mergeCell ref="A50:C50"/>
    <mergeCell ref="A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A78:B78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ПИТ</dc:creator>
  <cp:keywords/>
  <dc:description/>
  <cp:lastModifiedBy>Александр Владимирович</cp:lastModifiedBy>
  <cp:lastPrinted>2011-03-23T09:31:08Z</cp:lastPrinted>
  <dcterms:created xsi:type="dcterms:W3CDTF">2009-03-19T14:20:52Z</dcterms:created>
  <dcterms:modified xsi:type="dcterms:W3CDTF">2011-03-25T03:48:50Z</dcterms:modified>
  <cp:category/>
  <cp:version/>
  <cp:contentType/>
  <cp:contentStatus/>
  <cp:revision>1</cp:revision>
</cp:coreProperties>
</file>